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9660" windowHeight="5500" tabRatio="671" activeTab="0"/>
  </bookViews>
  <sheets>
    <sheet name="Krycí list rozpočtu" sheetId="1" r:id="rId1"/>
    <sheet name="Stavební rozpočet" sheetId="2" r:id="rId2"/>
    <sheet name="VZT" sheetId="3" r:id="rId3"/>
    <sheet name="Rozvody plynů" sheetId="4" r:id="rId4"/>
    <sheet name="Detekce plynů" sheetId="5" r:id="rId5"/>
    <sheet name="Silnoproud" sheetId="6" r:id="rId6"/>
    <sheet name="Slaboproud" sheetId="7" r:id="rId7"/>
    <sheet name="MaR" sheetId="8" r:id="rId8"/>
  </sheets>
  <definedNames/>
  <calcPr fullCalcOnLoad="1"/>
</workbook>
</file>

<file path=xl/sharedStrings.xml><?xml version="1.0" encoding="utf-8"?>
<sst xmlns="http://schemas.openxmlformats.org/spreadsheetml/2006/main" count="1491" uniqueCount="694">
  <si>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</si>
  <si>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</si>
  <si>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</si>
  <si>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</si>
  <si>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</si>
  <si>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</si>
  <si>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</si>
  <si>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</si>
  <si>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</si>
  <si>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</si>
  <si>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</si>
  <si>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</si>
  <si>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</si>
  <si>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</si>
  <si>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</si>
  <si>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</si>
  <si>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</si>
  <si>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</si>
  <si>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</si>
  <si>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</si>
  <si>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</si>
  <si>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</si>
  <si>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</si>
  <si>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</si>
  <si>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</si>
  <si>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</si>
  <si>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</si>
  <si>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</si>
  <si>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</si>
  <si>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</si>
  <si>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</si>
  <si>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</si>
  <si>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</si>
  <si>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</si>
  <si>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</si>
  <si>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</si>
  <si>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</si>
  <si>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</si>
  <si>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Poznámka:</t>
  </si>
  <si>
    <t>Objekt</t>
  </si>
  <si>
    <t>Kód</t>
  </si>
  <si>
    <t>34</t>
  </si>
  <si>
    <t>342264051RT4</t>
  </si>
  <si>
    <t>342264071RPol</t>
  </si>
  <si>
    <t>342265111RPol</t>
  </si>
  <si>
    <t>342248154RPol</t>
  </si>
  <si>
    <t>61</t>
  </si>
  <si>
    <t>612481211RT2</t>
  </si>
  <si>
    <t>612474921R00</t>
  </si>
  <si>
    <t>612401291RV2</t>
  </si>
  <si>
    <t>611421331R00</t>
  </si>
  <si>
    <t>611474450RT3</t>
  </si>
  <si>
    <t>62</t>
  </si>
  <si>
    <t>622311132RT1</t>
  </si>
  <si>
    <t>714</t>
  </si>
  <si>
    <t>714110801R00</t>
  </si>
  <si>
    <t>764</t>
  </si>
  <si>
    <t>764510460RT2</t>
  </si>
  <si>
    <t>764411310RPol</t>
  </si>
  <si>
    <t>767</t>
  </si>
  <si>
    <t>767592112R00</t>
  </si>
  <si>
    <t>767592114R00</t>
  </si>
  <si>
    <t>767646510R00</t>
  </si>
  <si>
    <t>784</t>
  </si>
  <si>
    <t>784402801R00</t>
  </si>
  <si>
    <t>784414301R00</t>
  </si>
  <si>
    <t>784422372R00</t>
  </si>
  <si>
    <t>90</t>
  </si>
  <si>
    <t>907      R00</t>
  </si>
  <si>
    <t>900      RPol</t>
  </si>
  <si>
    <t>94</t>
  </si>
  <si>
    <t>941955002R00</t>
  </si>
  <si>
    <t>95</t>
  </si>
  <si>
    <t>952901114R00</t>
  </si>
  <si>
    <t>952901111RPol</t>
  </si>
  <si>
    <t>952903111RPol</t>
  </si>
  <si>
    <t>96</t>
  </si>
  <si>
    <t>968062456RPol</t>
  </si>
  <si>
    <t>968062354RPol</t>
  </si>
  <si>
    <t>966077111R00</t>
  </si>
  <si>
    <t>97</t>
  </si>
  <si>
    <t>971012311R00</t>
  </si>
  <si>
    <t>S</t>
  </si>
  <si>
    <t>979011221R00</t>
  </si>
  <si>
    <t>979082111R00</t>
  </si>
  <si>
    <t>ČZU-budova FLD-stavební úpravy m.č. L047 a L054</t>
  </si>
  <si>
    <t>Kamýcká,Praha-Suchdol</t>
  </si>
  <si>
    <t>Zkrácený popis</t>
  </si>
  <si>
    <t>Rozměry</t>
  </si>
  <si>
    <t>Stěny a příčky</t>
  </si>
  <si>
    <t>Demontáž podhledu pro další použití m.č. 047</t>
  </si>
  <si>
    <t>Uskladnění dem.podhledu na určené místo</t>
  </si>
  <si>
    <t>Demontáž a znovu montáž podhledu m.č. 001 a 008(odhad,bude účtováno dle skutečnosti)</t>
  </si>
  <si>
    <t>Zazdění otvoru po vybourání okna+omítnutí a začištění ostění</t>
  </si>
  <si>
    <t>Úprava povrchů vnitřní</t>
  </si>
  <si>
    <t>Montáž výztužné sítě(perlinky)do stěrky-vnit.stěny+lepidlo-stěny +strop</t>
  </si>
  <si>
    <t>Penetrace pod štuk a perlinku-stěny +strop</t>
  </si>
  <si>
    <t>Omítka vnitřních stěn-štuk stěn</t>
  </si>
  <si>
    <t>Oprava váp.omítek stropů do 30% plochy - štukových</t>
  </si>
  <si>
    <t>Omítka stropů vnitřní tenkovrstvá  - štuk</t>
  </si>
  <si>
    <t>Úprava povrchů vnější</t>
  </si>
  <si>
    <t>Zateplovací systém Baumit, fasáda, EPS F tl.80 mm</t>
  </si>
  <si>
    <t>Izolace akustické a protiotřesová opatření</t>
  </si>
  <si>
    <t>Vyříznutí zvukové izolace 0,83x1,23m</t>
  </si>
  <si>
    <t>Konstrukce klempířské</t>
  </si>
  <si>
    <t>Oplechování parapetů včetně rohů lak.hliník, rš 345 mm</t>
  </si>
  <si>
    <t>Demontáž okenního parapetu</t>
  </si>
  <si>
    <t>Konstrukce doplňkové stavební (zámečnické)</t>
  </si>
  <si>
    <t>Ocelová plošina pro osazeni jednotky VZ pozinkovaná vč.pororoštů</t>
  </si>
  <si>
    <t>Nový pochozí chodník mezi jednotkami CHL a VZT</t>
  </si>
  <si>
    <t>Dod a montáž protipožárních dveří 1100/1970 dle specifikace vč.zárubně.EI 30 DP3-C-zatím odhad poptáno</t>
  </si>
  <si>
    <t>Malby</t>
  </si>
  <si>
    <t>Odstranění malby oškrábáním v místnosti H do 3,8 m</t>
  </si>
  <si>
    <t>Penetrace podkladu maleb</t>
  </si>
  <si>
    <t>Malba Primalex Plus</t>
  </si>
  <si>
    <t>Hodinové zúčtovací sazby (HZS)</t>
  </si>
  <si>
    <t>Autřojeřáb-doprava ocel.plošiny</t>
  </si>
  <si>
    <t>MImostaveništní doprava+přesun hmot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</si>
  <si>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</si>
  <si>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</si>
  <si>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</si>
  <si>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</t>
  </si>
  <si>
    <t>Průběžný úklid</t>
  </si>
  <si>
    <t>Zakrývání ploch proti prachu</t>
  </si>
  <si>
    <t>Bourání konstrukcí</t>
  </si>
  <si>
    <t>Demontáž vnitřních dveří vč.zárubně pro další použití 1100x1970mm</t>
  </si>
  <si>
    <t>Vybourání stáv.plastového okna 0,75x0,54m</t>
  </si>
  <si>
    <t>Vybourání mříží</t>
  </si>
  <si>
    <t>Prorážení otvorů a ostatní bourací práce</t>
  </si>
  <si>
    <t>Vybourání výplní z lehk. bet. nad 15cm, 0,83x1,23m</t>
  </si>
  <si>
    <t>Přesuny sutí</t>
  </si>
  <si>
    <t>Odvoz a likvidace suti</t>
  </si>
  <si>
    <t>Vnitrostaveništní doprava suti</t>
  </si>
  <si>
    <t>Začátek výstavby:</t>
  </si>
  <si>
    <t>Konec výstavby:</t>
  </si>
  <si>
    <t>MJ</t>
  </si>
  <si>
    <t>m2</t>
  </si>
  <si>
    <t>kpl</t>
  </si>
  <si>
    <t>m</t>
  </si>
  <si>
    <t>kus</t>
  </si>
  <si>
    <t>HZS</t>
  </si>
  <si>
    <t>ktj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</si>
  <si>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</si>
  <si>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</si>
  <si>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</si>
  <si>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</si>
  <si>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</si>
  <si>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</si>
  <si>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</si>
  <si>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</si>
  <si>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</si>
  <si>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</si>
  <si>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ČZU v Praze</t>
  </si>
  <si>
    <t>Montáž</t>
  </si>
  <si>
    <t>Celkem</t>
  </si>
  <si>
    <t>Hmotnost (t)</t>
  </si>
  <si>
    <t>Jednot.</t>
  </si>
  <si>
    <t>Cenová</t>
  </si>
  <si>
    <t>soustava</t>
  </si>
  <si>
    <t>RTS II / 2020</t>
  </si>
  <si>
    <t>RTS II / 2019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</si>
  <si>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</si>
  <si>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</si>
  <si>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</si>
  <si>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</si>
  <si>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</si>
  <si>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</si>
  <si>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</si>
  <si>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</si>
  <si>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</si>
  <si>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</si>
  <si>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</si>
  <si>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</si>
  <si>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62_</t>
  </si>
  <si>
    <t>714_</t>
  </si>
  <si>
    <t>764_</t>
  </si>
  <si>
    <t>767_</t>
  </si>
  <si>
    <t>784_</t>
  </si>
  <si>
    <t>90_</t>
  </si>
  <si>
    <t>94_</t>
  </si>
  <si>
    <t>95_</t>
  </si>
  <si>
    <t>96_</t>
  </si>
  <si>
    <t>97_</t>
  </si>
  <si>
    <t>S_</t>
  </si>
  <si>
    <t>3_</t>
  </si>
  <si>
    <t>6_</t>
  </si>
  <si>
    <t>71_</t>
  </si>
  <si>
    <t>76_</t>
  </si>
  <si>
    <t>78_</t>
  </si>
  <si>
    <t>9_</t>
  </si>
  <si>
    <t>_</t>
  </si>
  <si>
    <t>MAT</t>
  </si>
  <si>
    <t>WORK</t>
  </si>
  <si>
    <t>CELK</t>
  </si>
  <si>
    <t>ISWORK</t>
  </si>
  <si>
    <t>P</t>
  </si>
  <si>
    <t>GROUPCODE</t>
  </si>
  <si>
    <t>Základ 0%</t>
  </si>
  <si>
    <t>Základ 15%</t>
  </si>
  <si>
    <t>Základ 21%</t>
  </si>
  <si>
    <t>Projektant</t>
  </si>
  <si>
    <t>Datum, razítko a podpis</t>
  </si>
  <si>
    <t>Krycí list rozpočtu</t>
  </si>
  <si>
    <t>DPH 15%</t>
  </si>
  <si>
    <t>DPH 21%</t>
  </si>
  <si>
    <t>Objednatel</t>
  </si>
  <si>
    <t>Zařízení staveniště</t>
  </si>
  <si>
    <t>Provozní vlivy</t>
  </si>
  <si>
    <t>Ostatní</t>
  </si>
  <si>
    <t>Celkem bez DPH</t>
  </si>
  <si>
    <t>Celkem včetně DPH</t>
  </si>
  <si>
    <t>Zhotovitel</t>
  </si>
  <si>
    <t>IČ/DIČ:</t>
  </si>
  <si>
    <t>Položek:</t>
  </si>
  <si>
    <t>Datum:</t>
  </si>
  <si>
    <t>Pozice</t>
  </si>
  <si>
    <t>Popis položky</t>
  </si>
  <si>
    <t>mj</t>
  </si>
  <si>
    <t>množství</t>
  </si>
  <si>
    <t>cena/ mj</t>
  </si>
  <si>
    <t>cena celkem</t>
  </si>
  <si>
    <t>047.1</t>
  </si>
  <si>
    <t>Vzduchotechnická jednotka v chemicky odolném provedení - nerez, v nevýbušném provedení. Jednotka bude ve venkovním provedení.  Výkon jednotky 500m3/h - 250Pa. Jednotka je v sestavě: filtrační komora s kapsovým filtrem M5, filtrační komora s filtrem F7, filtrační komora s aktivním uhlím, ventilátorová komora (ventilátor bez regulace otáček), uzavírací klapka těsná pro osazení seropohonu</t>
  </si>
  <si>
    <t>ks</t>
  </si>
  <si>
    <t>TL.047.1</t>
  </si>
  <si>
    <t>Tlumič hluku - Ø200-900 - materiál: NEREZ</t>
  </si>
  <si>
    <t>RK.047.1.1</t>
  </si>
  <si>
    <t>Regulační klapka kruhová těsná Ø250 pro osazení servopohonu (servo dodá MaR)</t>
  </si>
  <si>
    <t>RK.047.1.2</t>
  </si>
  <si>
    <t>Regulační klapka kruhová těsná Ø200 pro osazení servopohonu (dodá MaR)
materiál: třída A4 – chemický NEREZ</t>
  </si>
  <si>
    <t>RK.047.1.3</t>
  </si>
  <si>
    <t>Regulační klapka kruhová těsná Ø250 pro osazení servopohonu (dodá MaR)</t>
  </si>
  <si>
    <t>RK.047.1.4</t>
  </si>
  <si>
    <t>RK.047.1.5</t>
  </si>
  <si>
    <t>Regulační klapka kruhová těsná ruční Ø200
materiál: třída A4 – chemický NEREZ</t>
  </si>
  <si>
    <t>PK.047.1.1</t>
  </si>
  <si>
    <t>Požární klapka kruhová  Ø200, servopohon 230 V, teplotní čidlo, koncové spínače</t>
  </si>
  <si>
    <t>PK.047.1.2</t>
  </si>
  <si>
    <t>PK.047.1.3</t>
  </si>
  <si>
    <t>PK.047.1.4</t>
  </si>
  <si>
    <t>V.047.1.1</t>
  </si>
  <si>
    <t>Ochranná mřížka na konec potrubí Ø250 - tahokov</t>
  </si>
  <si>
    <t>V.047.1.2</t>
  </si>
  <si>
    <t>Ochranná mřížka na konec potrubí Ø200, materiál: NEREZ</t>
  </si>
  <si>
    <t>V.047.1.3</t>
  </si>
  <si>
    <t>výfuková hlavice kruhová nerezová Ø200 L=500 mm</t>
  </si>
  <si>
    <t>potrubí čtyřhranné tvarovky - nerezové sk.I. EN 1.4404</t>
  </si>
  <si>
    <t>potrubí kruhové nerezové přímé Ø200, provedení Safe SR-200; třída těsnosti D</t>
  </si>
  <si>
    <t>bm</t>
  </si>
  <si>
    <t>potrubí kruhové nerezové tvarovky Ø200, provedení Safe SR-200; třída těsnosti D</t>
  </si>
  <si>
    <t>potrubí kruhové přímé Ø250, provedení Safe třída těsnosti D</t>
  </si>
  <si>
    <t>potrubí kruhové tvarovky Ø250, provedení Safe třída těsnosti D</t>
  </si>
  <si>
    <t>IZ-P</t>
  </si>
  <si>
    <t>Požární izolace minerální vata s AL polepem tl. 40 mm
Nerezové opláštění</t>
  </si>
  <si>
    <t>IZ-T</t>
  </si>
  <si>
    <t>Tepelná izolace minerální vata s AL polepem tl. 40 mm</t>
  </si>
  <si>
    <t>0.47.2</t>
  </si>
  <si>
    <t>Ventilátor chemicky odolný nevýbušný 200m3/h, 400 Pa, příkon 0,37kW/400V, 2740 otáček, akustický výkon max 63dBA, plastová stolička PP uzavřená (motor uvnitř), výfuk vzduchu nahoru, pružné manžety</t>
  </si>
  <si>
    <t>TL.047.2.1</t>
  </si>
  <si>
    <t>Tlumič hluku - Ø160-900 - materiál: NEREZ</t>
  </si>
  <si>
    <t>TL.047.2.2</t>
  </si>
  <si>
    <t>Tlumič hluku - Ø160-600 - materiál: NEREZ</t>
  </si>
  <si>
    <t>RK.047.2.1</t>
  </si>
  <si>
    <t>Regulační klapka kruhová těsná ruční Ø160
materiál: třída A4 – chemický NEREZ</t>
  </si>
  <si>
    <t>V.047.2.1</t>
  </si>
  <si>
    <t>výfuková hlavice kruhová nerezová Ø160 L=355 mm</t>
  </si>
  <si>
    <t>V.047.2.2</t>
  </si>
  <si>
    <t>mřížka na konec potrubí Ø160, materiál: NEREZ</t>
  </si>
  <si>
    <t>potrubí kruhové nerezové přímé Ø100, provedení Safe, třída těsnosti D</t>
  </si>
  <si>
    <t>potrubí kruhové nerezové tvarovky Ø100, provedení Safe, třída těsnosti D</t>
  </si>
  <si>
    <t>potrubí kruhové nerezové přímé Ø160, provedení Safe, třída těsnosti D</t>
  </si>
  <si>
    <t>potrubí kruhové nerezové tvarovky Ø160, provedení Safe, třída těsnosti D</t>
  </si>
  <si>
    <t>chemicky odolná antistatická flexo hadice Ø63</t>
  </si>
  <si>
    <t>Posun FCU jednotky</t>
  </si>
  <si>
    <t>Dopojení UTCH k posunutému FCU chlazení DN 25 vč izolace kaiflex</t>
  </si>
  <si>
    <t xml:space="preserve">Dopojení UTCH k posunutému FCU topení DN 15 vč izolace </t>
  </si>
  <si>
    <t>Vsazení 4ks požárních klapek do stávajícího potrubí, posun T-kusů a dopojení anemostatů</t>
  </si>
  <si>
    <t>Dodávka a montáž včetně dopravy materiálu, jeřábu, montážních plošin</t>
  </si>
  <si>
    <t xml:space="preserve">Spojovací a kotvicí materiál </t>
  </si>
  <si>
    <t>kg</t>
  </si>
  <si>
    <t>Kotvicí systém pro zatepelné fasády, montážní lišta VZT Ø160 + VZT Ø200+technické plyny 3x DN 50</t>
  </si>
  <si>
    <t>Kotvicí systém pro instalaci na střeše, roznášení patky + zátěž, svislé nohy a příčníky,  systém musí umožňovat vyrovnáíní sklonu střechy</t>
  </si>
  <si>
    <t>Stojka pro technické plyny - podpora na střeše</t>
  </si>
  <si>
    <t>Požární ucpávky</t>
  </si>
  <si>
    <t>Výchozí revize zařízení a zprovoznění</t>
  </si>
  <si>
    <t>Dokumentace skutečného stavu</t>
  </si>
  <si>
    <t>Měření výkonu VZT a zaregulování</t>
  </si>
  <si>
    <t>CELKEM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</si>
  <si>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</si>
  <si>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 xml:space="preserve">Zkušební provoz + </t>
    </r>
    <r>
      <rPr>
        <b/>
        <i/>
        <sz val="10"/>
        <color indexed="19"/>
        <rFont val="Arial"/>
        <family val="2"/>
      </rPr>
      <t>MONTÁŽ</t>
    </r>
    <r>
      <rPr>
        <sz val="10"/>
        <color indexed="8"/>
        <rFont val="Arial"/>
        <family val="2"/>
      </rPr>
      <t xml:space="preserve"> + </t>
    </r>
    <r>
      <rPr>
        <b/>
        <i/>
        <sz val="10"/>
        <color indexed="19"/>
        <rFont val="Arial"/>
        <family val="2"/>
      </rPr>
      <t>DOPRAVA</t>
    </r>
  </si>
  <si>
    <t>Vzduchotechnika</t>
  </si>
  <si>
    <t>Rozvod plynů</t>
  </si>
  <si>
    <t>Detekce plynů</t>
  </si>
  <si>
    <t>Slaboproud</t>
  </si>
  <si>
    <t>Silnoproud</t>
  </si>
  <si>
    <t>Měření a regulace</t>
  </si>
  <si>
    <t>CELKEM za Stavební činnost</t>
  </si>
  <si>
    <t>CELKEM za VZT</t>
  </si>
  <si>
    <t>Číslo
položky</t>
  </si>
  <si>
    <t>Měrná
jednotka</t>
  </si>
  <si>
    <t>Způsob
výpočtu</t>
  </si>
  <si>
    <t>Odkaz
na PD</t>
  </si>
  <si>
    <t>Cena *)</t>
  </si>
  <si>
    <t>označení</t>
  </si>
  <si>
    <t>kód</t>
  </si>
  <si>
    <t>jednotková</t>
  </si>
  <si>
    <t>celkem</t>
  </si>
  <si>
    <t>ROZVODY PLYNŮ L047</t>
  </si>
  <si>
    <t>dílčí součet:</t>
  </si>
  <si>
    <t>1.1</t>
  </si>
  <si>
    <t>1)</t>
  </si>
  <si>
    <t>Zdrojový panel PA01 včetně příslušenství a připojovacích šroubení, včetně instalčního a kotevního materiálu.  Včetně připojovací spirály lahve a úchytky spirály.  Dle specifikace uvedené v seznamu strojů a zařízení a v technologického schéma.</t>
  </si>
  <si>
    <t>2)</t>
  </si>
  <si>
    <t>0320-DPS-D.1.4.2.01, 0320-DPS-D.1.4.2.02, 0320-DPS-D.1.4.2.03, 0320-DPS-D.1.4.2.04</t>
  </si>
  <si>
    <t>1.2</t>
  </si>
  <si>
    <t>Zdrojový panel PA02 včetně příslušenství a připojovacích šroubení, včetně instalčního a kotevního materiálu.  Včetně připojovací spirály lahve a úchytky spirály.  Dle specifikace uvedené v seznamu strojů a zařízení a v technologického schéma.</t>
  </si>
  <si>
    <t>1.3</t>
  </si>
  <si>
    <t>Zdrojový panel PA03 včetně příslušenství a připojovacích šroubení, včetně instalčního a kotevního materiálu.  Včetně připojovací spirály lahve a úchytky spirály.   Dle specifikace uvedené v seznamu strojů a zařízení a v technologického schéma.</t>
  </si>
  <si>
    <t>1.4</t>
  </si>
  <si>
    <t>Zdrojový panel PA04 včetně příslušenství a připojovacích šroubení, včetně instalčního  a kotevního materiálu.  Včetně připojovací spirály lahve a úchytky spirály. Dle specifikace uvedené v seznamu strojů a zařízení a v technologického schéma.</t>
  </si>
  <si>
    <t>1.5</t>
  </si>
  <si>
    <t>Zdrojový panel PA05 včetně příslušenství a připojovacích šroubení, včetně instalčního  a kotevního materiálu.   Včetně připojovací spirály lahve a úchytky spirály.  Dle specifikace uvedené v seznamu strojů a zařízení a v technologického schéma.</t>
  </si>
  <si>
    <t>1.6</t>
  </si>
  <si>
    <t>Zdrojový panel PA06 včetně příslušenství a připojovacích šroubení, včetně instalčního a kotevního materiálu.   Včetně připojovací spirály lahve a úchytky spirály. Dle specifikace uvedené v seznamu strojů a zařízení a v technologického schéma.</t>
  </si>
  <si>
    <t>1.7</t>
  </si>
  <si>
    <t>Zdrojový panel PA07 včetně příslušenství a připojovacích šroubení, včetně instalčního a kotevního materiálu.   Včetně připojovací spirály lahve a úchytky spirály. Dle specifikace uvedené v seznamu strojů a zařízení a v technologického schéma.</t>
  </si>
  <si>
    <t>1.8</t>
  </si>
  <si>
    <t>Odběrový panel PA11 včetně příslušenství a připojovacích šroubení, včetně instalčního a kotevního materiálu.  Dle specifikace uvedené v seznamu strojů a zařízení a v technologického schéma.</t>
  </si>
  <si>
    <t>1.9</t>
  </si>
  <si>
    <t>Pojistný ventil H2 11 včetně příslušenství a připojovacích šroubení, včetně instalčního a kotevního materiálu.  Dle specifikace uvedené v seznamu strojů a zařízení a v technologického schéma.</t>
  </si>
  <si>
    <t>1.10</t>
  </si>
  <si>
    <t>Pojistný ventil CO 11 včetně příslušenství a připojovacích šroubení, včetně instalčního a kotevního materiálu.  Dle specifikace uvedené v seznamu strojů a zařízení a v technologického schéma.</t>
  </si>
  <si>
    <t>1.11</t>
  </si>
  <si>
    <t>Pojistný ventil SO2 11 včetně příslušenství a připojovacích šroubení, včetně instalčního a kotevního materiálu.  Dle specifikace uvedené v seznamu strojů a zařízení a v technologického schéma.</t>
  </si>
  <si>
    <t>1.12</t>
  </si>
  <si>
    <t>Pojistný ventil O2 11 včetně příslušenství a připojovacích šroubení, včetně instalčního a kotevního materiálu.  Dle specifikace uvedené v seznamu strojů a zařízení a v technologického schéma.</t>
  </si>
  <si>
    <t>1.13</t>
  </si>
  <si>
    <t>Pojistný ventil He 11 včetně příslušenství a připojovacích šroubení, včetně instalčního a kotevního materiálu.  Dle specifikace uvedené v seznamu strojů a zařízení a v technologického schéma.</t>
  </si>
  <si>
    <t>1.14</t>
  </si>
  <si>
    <t>Pojistný ventil CO2 11 včetně příslušenství a připojovacích šroubení, včetně instalčního a kotevního materiálu.  Dle specifikace uvedené v seznamu strojů a zařízení a v technologického schéma.</t>
  </si>
  <si>
    <t>1.15</t>
  </si>
  <si>
    <t>Pojistný ventil N2 11 včetně příslušenství a připojovacích šroubení, včetně instalčního a kotevního materiálu.  Dle specifikace uvedené v seznamu strojů a zařízení a v technologického schéma.</t>
  </si>
  <si>
    <t>1.16</t>
  </si>
  <si>
    <t>Pneumatický izolační ventil H2 12 včetně příslušenství a připojovacích šroubení, včetně instalčního a kotevního materiálu.  Dle specifikace uvedené v seznamu strojů a zařízení a v technologického schéma.</t>
  </si>
  <si>
    <t>1.17</t>
  </si>
  <si>
    <t>Pneumatický izolační ventil CO 12 včetně příslušenství a připojovacích šroubení, včetně instalčního a kotevního materiálu.  Dle specifikace uvedené v seznamu strojů a zařízení a v technologického schéma.</t>
  </si>
  <si>
    <t>1.18</t>
  </si>
  <si>
    <t>Pneumatický izolační ventil SO2 12 včetně příslušenství a připojovacích šroubení, včetně instalčního a kotevního materiálu.  Dle specifikace uvedené v seznamu strojů a zařízení a v technologického schéma.</t>
  </si>
  <si>
    <t>1.19</t>
  </si>
  <si>
    <t>Pneumatický izolační ventil CO2 12 včetně příslušenství a připojovacích šroubení, včetně instalčního a kotevního materiálu.  Dle specifikace uvedené v seznamu strojů a zařízení a v technologického schéma.</t>
  </si>
  <si>
    <t>1.20</t>
  </si>
  <si>
    <t>Odkalovací ventil odvětracího potrubí včetně zaslepovací zátaky a připojovacích šroubení, včetně instalčního a kotevního materiálu.  Dle specifikace uvedené v seznamu strojů a zařízení a v technologického schéma.</t>
  </si>
  <si>
    <t>1.21</t>
  </si>
  <si>
    <t>Potrubí 6x1, 1.4404, cena se rozumí včetně šroubení, fitinek, kotevního metriálu, přídavných materiálů pro svařování a využití svařovacího automatu.</t>
  </si>
  <si>
    <t>1.22</t>
  </si>
  <si>
    <t>Potrubí 42,4x1,6, 1.4301, cena se rozumí včetně šroubení, fitinek, kotevního metriálu a přídavných materiálů pro svařování a provedených svarů.</t>
  </si>
  <si>
    <t>1.23</t>
  </si>
  <si>
    <t>Potrubí 60,3x1,6, 1.4301, cena se rozumí včetně šroubení, fitinek, kotevního metriálu a přídavných materiálů pro svařování a provedených svarů.</t>
  </si>
  <si>
    <t>1.24</t>
  </si>
  <si>
    <t>Potrubí 8x1 (dopojení pojistných ventilů), 1.4404, cena se rozumí včetně šroubení, fitinek, kotevního metriálu, přídavných materiálů pro svařování a provedených svarů.</t>
  </si>
  <si>
    <t>1.25</t>
  </si>
  <si>
    <t>Potrubí 12x1 (dopojení pojistných ventilů), 1.4404, cena se rozumí včetně šroubení, fitinek, kotevního metriálu, přídavných materiálů pro svařování a provedených svarů.</t>
  </si>
  <si>
    <t>1.26</t>
  </si>
  <si>
    <t>Potrubí 17,2x1,6 (dopojení pojistných ventilů), 1.4301, cena se rozumí včetně šroubení, fitinek, kotevního metriálu, přídavných materiálů pro svařování a provedených svarů.</t>
  </si>
  <si>
    <t>1.27</t>
  </si>
  <si>
    <t>Potrubí 33,7x1,6 (dopojení pojistných ventilů), 1.4301, cena se rozumí včetně šroubení, fitinek, kotevního metriálu, přídavných materiálů pro svařování a provedených svarů.</t>
  </si>
  <si>
    <t>1.28</t>
  </si>
  <si>
    <t>Prostupy obvodovým pláštěm budovy</t>
  </si>
  <si>
    <t>1.29</t>
  </si>
  <si>
    <t>Držák lahve nerez s řetízkem (řemínkem) s kotevním materiálem</t>
  </si>
  <si>
    <t>1.30</t>
  </si>
  <si>
    <t>Držák 2l lahve nerez, díleská výroba, s kotevním materiálem</t>
  </si>
  <si>
    <t>Zařízení pro práci ve výškách, montážní plošiny. Cena včetně dopravních nákladů.</t>
  </si>
  <si>
    <t>hodin</t>
  </si>
  <si>
    <t>3x8h</t>
  </si>
  <si>
    <t>1.31</t>
  </si>
  <si>
    <t>Zařízení staveniště (skladový kontejner, provizorní přívody el. atd).</t>
  </si>
  <si>
    <t>1.32</t>
  </si>
  <si>
    <t>Montážní práce. Dodávka je uvažována jako kompletní včetně materiálů a zařízení nutných k provedení montáže a dopravních nákladů. Náklady na provedení svarů jsou součástí ceny potrubí. Cena zahrnuje demontáž stávajících rozvodú N2 a He a částečnou demontáž rozvodu stlač. vzduchu</t>
  </si>
  <si>
    <t>4 pracovníci x8 hodin x10 dnů</t>
  </si>
  <si>
    <t>1.33</t>
  </si>
  <si>
    <t>NDT testy, zkoušky a revize, uvedení do provozu a funkční zkoušky, zaškolení obsluhy. Dodávka je uvažována jako kompletní včetně materiálů a zařízení nutných k provedení zkoušek a dopravních nákladů</t>
  </si>
  <si>
    <t>1.34</t>
  </si>
  <si>
    <t xml:space="preserve">Dokumentace skutečného provedení, protokoly, návody. </t>
  </si>
  <si>
    <t>ROZVODY STLAČENÉHO ZDUCHU L047</t>
  </si>
  <si>
    <t>2.1</t>
  </si>
  <si>
    <t>Ventilový blok SV03 4x 3/2 NC, připojení 24VDC multipin, včetně příslušenství a připojovacích šroubení, včetně instalčního a kotevního materiálu.  Dle specifikace uvedené v seznamu strojů a zařízení a v technologického schéma.</t>
  </si>
  <si>
    <t>2.2</t>
  </si>
  <si>
    <t>Redukční ventil SV02, včetně příslušenství a připojovacích šroubení, včetně instalčního a kotevního materiálu.  Dle specifikace uvedené v seznamu strojů a zařízení a v technologického schéma.</t>
  </si>
  <si>
    <t>2.3</t>
  </si>
  <si>
    <t>Kulový kohout SV01, včetně příslušenství a připojovacích šroubení, včetně instalčního a kotevního materiálu.  Dle specifikace uvedené v seznamu strojů a zařízení a v technologického schéma.</t>
  </si>
  <si>
    <t>2.4</t>
  </si>
  <si>
    <t>Potrubí 12,7x1,24,  1.4301, cena se rozumí včetně šroubení, fitinek, kotevního metriálu, přídavných materiálů pro svařování a provedených svarů.</t>
  </si>
  <si>
    <t>2.5</t>
  </si>
  <si>
    <t>Pneumatická vedení PUN hadičkami, cena se rozumí včetně šroubení, fitinek a kotevního metriálu.</t>
  </si>
  <si>
    <t>2.6</t>
  </si>
  <si>
    <t>Montážní práce. Dodávka je uvažována jako kompletní včetně materiálů a zařízení nutných k provedení montáže a dopravních nákladů. Náklady na provedení svarů jsou součástí ceny potrubí.</t>
  </si>
  <si>
    <t>součást položky 1.32</t>
  </si>
  <si>
    <t>2.7</t>
  </si>
  <si>
    <t>Zkoušky, uvedení do provozu a funkční zkoušky, zaškolení obsluhy. Dodávka je uvažována jako kompletní včetně materiálů a zařízení nutných k provedení zkoušek a dopravních nákladů</t>
  </si>
  <si>
    <t>součást položky 1.33</t>
  </si>
  <si>
    <t>součást položky 1.34</t>
  </si>
  <si>
    <t>CENA CELKEM</t>
  </si>
  <si>
    <t>*) ceny bez DPH</t>
  </si>
  <si>
    <t>Cena</t>
  </si>
  <si>
    <t>PLYNOVÁ DETEKCE L047</t>
  </si>
  <si>
    <t>Certifikovaná kompaktní vyhodnocovací ústředna včetně příslušenství a instalčního boxu, včetně instalčního materiálu.  Dle specifikace uvedené v TZ 0320-DPS-D.1.4.3.01.</t>
  </si>
  <si>
    <t>0320-DPS-D.1.4.3.01, 0320-DPS-D.1.4.3.02, 0320-DPS-D.1.4.3.03</t>
  </si>
  <si>
    <t>Certifikovaný záložní zdroj 24VDC, 8A, 17Ah pro požárně bezpečnostní zařízení, včetně akumulárorů a instalčního materiálu.  Dle specifikace uvedené v TZ 0320-DPS-D.1.4.3.01.</t>
  </si>
  <si>
    <t>Snímač, Vodík, 0-40000ppm, 4-20mA, RS485, ATEX, Ex zona II, včetně příslušenství a instalačního materiálu. Dle specifikace uvedené v TZ 0320-DPS-D.1.4.3.01.</t>
  </si>
  <si>
    <t>Snímač, Oxid uhličitý, 0-5 % obj., 4-20mA, RS485, ATEX, Ex zona II, včetně příslušenství a instalačního materiálu.  Dle specifikace uvedené v TZ 0320-DPS-D.1.4.3.01.</t>
  </si>
  <si>
    <t>Snímač , Oxid uhelnatý, 0- 1000 ppm, 4-20mA, RS485, ATEX, Ex zona II,  včetně příslušenství a instalačního materiálu.  Dle specifikace uvedené v TZ 0320-DPS-D.1.4.3.01.</t>
  </si>
  <si>
    <t>Snímač, Oxid siřičitý, 0-20 ppm, 4-20mA, RS485, ATEX, Ex zona II, včetně příslušenství a instalačního materiálu.  Dle specifikace uvedené v TZ 0320-DPS-D.1.4.3.01.</t>
  </si>
  <si>
    <t>Externí optická signalizace, ATEX zone II+ info tabule opusťte prostor, včetně příslušenství a instalačního materiálu.  Dle specifikace uvedené v TZ 0320-DPS-D.1.4.3.01.</t>
  </si>
  <si>
    <t>Zenerova bariéra 28 V, 300 Ohm, 93 mA, včetně instalčního boxu, včetně příslušenství a instalačního materiálu.  Dle specifikace uvedené v TZ 0320-DPS-D.1.4.3.01.</t>
  </si>
  <si>
    <t>Maják červený  IP54 (24V)+ + info tabule nevstupovat, včetně příslušenství a instalačního materiálu.  Dle specifikace uvedené v TZ 0320-DPS-D.1.4.3.01.</t>
  </si>
  <si>
    <t>Akustická signalizace, včetně příslušenství a instalačního materiálu.  Dle specifikace uvedené v TZ 0320-DPS-D.1.4.3.01.</t>
  </si>
  <si>
    <t>Externí odstavné tlačítko zvukové signalizace,  včetně příslušenství a instalačního materiálu.  Dle specifikace uvedené v TZ 0320-DPS-D.1.4.3.01.</t>
  </si>
  <si>
    <t>Kabelové trasy, včetně příslušenství a instalačního materiálu. Dle specifikace uvedené v TZ 0320-DPS-D.1.4.3.01 a schéma zapojení 0320-DPS-D.1.4.3.02</t>
  </si>
  <si>
    <t>L001 - 15 m,
L047 - 15 m</t>
  </si>
  <si>
    <t>Kryt čidel CO2 a SO2, nerezová ocel, dílenský výrobek</t>
  </si>
  <si>
    <t>Prostupy požárně dělícícmi konstrukcemi</t>
  </si>
  <si>
    <t>Montážní práce. Dodávka je uvažována jako kompletní včetně materiálů a zařízení nutných k provedení montáže a dopravních nákladů</t>
  </si>
  <si>
    <t>2 pracovníci x8 hodin x2 dnů</t>
  </si>
  <si>
    <t>Prvotní kalibrace, uvedení do provozu a funkční zkoušky, zaškolení obsluhy. Dodávka je uvažována jako kompletní včetně materiálů a zařízení nutných k provedení zkoušek a dopravních nákladů</t>
  </si>
  <si>
    <t xml:space="preserve">Dokumentace, protokoly, návody. </t>
  </si>
  <si>
    <t>ČZU FLD suterén, doplnění laboratoře 047</t>
  </si>
  <si>
    <t>POL.</t>
  </si>
  <si>
    <t>NÁZEV</t>
  </si>
  <si>
    <t>JEDNOTKA</t>
  </si>
  <si>
    <t>POČET</t>
  </si>
  <si>
    <t>J.C.</t>
  </si>
  <si>
    <t>Trubka tužší PVC ohebná EI do 25mm uložená do betonu/pod omítkou</t>
  </si>
  <si>
    <t>Trubka PVC ohebná EI bezhalogenová 32 - 50mm uložená volně/pod omítkou</t>
  </si>
  <si>
    <t>Trubka ohebná nerez, elektroinstalační 21mm uložená pevně</t>
  </si>
  <si>
    <t>Kabelový žlab s víkem pozinkovaný, šířka do 250 mm, výška 60, přepážka, délka 3m, vč. konzol, držáků, požární EI30</t>
  </si>
  <si>
    <t>Kabelový žlab s víkem pozinkovaný, šířka do 125 mm, výška 100, přepážka, délka 3m, vč. konzol či závěsů, požární EI30</t>
  </si>
  <si>
    <t>Kabelový žlab drátěný pozinkovaný, šířka do 50 mm, výška 62,  délka 3m, vč. konzol či držáků, požární min. EI30</t>
  </si>
  <si>
    <t>Kabelový drátěný rošt š.100mm, v.55-60mm, galvanizovaný, vč. konzol či závěsů, požární min. EI30</t>
  </si>
  <si>
    <t>Kabelový drátěný rošt š.50mm, v.55-60mm, galvanizovaný, vč. konzol či závěsů</t>
  </si>
  <si>
    <t>Ocelová konstrukce tenkostěnná</t>
  </si>
  <si>
    <t>Krabice přístrojová bez zapojení (i do SDK)</t>
  </si>
  <si>
    <t>Krabicová rozvodka povrchová, IP54, vč. průchodek, do 105x105 z izol. do 2,5 mm2</t>
  </si>
  <si>
    <t>Krabice pro zásuvku 400V/16A - na povrch</t>
  </si>
  <si>
    <t>CY, CYA do 1 x 6 mm2, vodič s plastovou izolací (zel/žl)</t>
  </si>
  <si>
    <t>CY, CYA 1 x 10 - 16 mm2, vodič s plastovou izolací</t>
  </si>
  <si>
    <t>CY, CYA 1 x 25 - 50 mm2, vodič s plastovou izolací</t>
  </si>
  <si>
    <t>CYKY 3 x 1,5-O mm2, kabel silový izolace plastová</t>
  </si>
  <si>
    <t>CYKY 3 x 1,5-J mm2, kabel silový izolace plastová</t>
  </si>
  <si>
    <t>CYKY do 3 x 2,5-J mm2, kabel silový izolace plastová</t>
  </si>
  <si>
    <t>CHKE-V 3x 1,5, kabel silový ohniodolný min. 45 min.</t>
  </si>
  <si>
    <t>CYKY 4/5 x 2,5 mm2, kabel silový izolace plastová</t>
  </si>
  <si>
    <t xml:space="preserve">CGSG 5x2,5, gumový kabel silový </t>
  </si>
  <si>
    <t>CSKH V180+P60R 3x1,5-O, nenasákavý, UV ochrana</t>
  </si>
  <si>
    <t>CSKH V180+P60R 5x1,5-O, nenasákavý, UV ochrana</t>
  </si>
  <si>
    <t>Svorková krabice s víkem na šrouby,plastová, min. 2x8 svorek do 4mm2, rozměry cca 240x190x90 4x průchodka P21 + montáž a zapojení</t>
  </si>
  <si>
    <t>Osazení držáku pro kabel pož. odolnost min. 45 min.</t>
  </si>
  <si>
    <t xml:space="preserve">Tlačítko "CENTRAL STOP" nástěnné, červené s ochr. sklem, 250V/2A, popis </t>
  </si>
  <si>
    <t xml:space="preserve">Tlačítko "TOTAL STOP" nástěnné, červené s ochr. sklem, 250V/2A, popis </t>
  </si>
  <si>
    <t>Zásuvka pod omítku jednoduchá 10/16A, 250V, IP20, komplet</t>
  </si>
  <si>
    <t>Zásuvka pod omítku 400V/3x16A, do vlhka, IP54</t>
  </si>
  <si>
    <t>Pomocné ocelové systémové konstrukce svařované a šroubované z ocelových pozink. profilů a plechů</t>
  </si>
  <si>
    <t>Protipožární ucpávka stěnou / stropem, tl. do 50cm, do EI 90 min.</t>
  </si>
  <si>
    <t xml:space="preserve">Protipožární tmel ( tuba - 1000ml ), do EI 90 min. </t>
  </si>
  <si>
    <t>Kabelová ucpávka vodě odolná pro vnitřní průměr otvoru 105 - 185mm</t>
  </si>
  <si>
    <t>Uzemňovací vodič na povrchu FeZn do 120mm2 pevně vč. nátěru</t>
  </si>
  <si>
    <t>Uzemňovací vodič Cu na povrchu 25mm2 pevně vč. nátěru</t>
  </si>
  <si>
    <t>Svorka ST připojovací kompletní</t>
  </si>
  <si>
    <t>Jistič jednofázový od 10 do 20A/C, včetně montáže</t>
  </si>
  <si>
    <t>Jistič jednofázový od 2 do 6A/C, včetně montáže</t>
  </si>
  <si>
    <t>Jistič třífázový od 10 do 20A/C, včetně montáže</t>
  </si>
  <si>
    <t>Vypínací cívka 230V AC, k jističi či vypínači</t>
  </si>
  <si>
    <t>Jistič třífázový do 40A/C, včetně montáže</t>
  </si>
  <si>
    <t>Proudový chránič 40/4/0,03A, včetně montáže</t>
  </si>
  <si>
    <t>Trojfázové relé hlídání fází, 3x400V, sign. kontakty 1/1</t>
  </si>
  <si>
    <t>Přepěťová ochrana tř.I+II, montáž</t>
  </si>
  <si>
    <t xml:space="preserve">Ukončení 1 - žílových vodičů a kabelů izolovaných s označením a zapojením v rozvaděči nebo na přístroji/ přípojnici do 6 mm2 </t>
  </si>
  <si>
    <t xml:space="preserve">Ukončení 1 - žílových vodičů a kabelů izolovaných s označením a zapojením v rozvaděči nebo na přístroji/ přípojnici do 16 mm2 </t>
  </si>
  <si>
    <t xml:space="preserve">Ukončení 1 - žílových vodičů a kabelů izolovaných s označením a zapojením v rozvaděči nebo na přístroji/ přípojnici do 50 mm2 </t>
  </si>
  <si>
    <t>Přepěťová ochrana tř.I+II pro zónu Zb0, 3pól., v krabici IP55 s průchodkami a svorkami pro kabel 4x25mm2</t>
  </si>
  <si>
    <t xml:space="preserve">Online UPS, 10kVA s podstavcem,vstup 400V AC, výstup 400V, 50Hz, Jmenovitý proud UPS: 14 A; doporučené jištění přívodu k UPS, pouze pro tento jediný případ s motorovou zátěží: C10A (10A/ch.C) nebo B16Atablo s displejem, měřený vstup/výstup (napětí, proud, výkon, frekvence) baterie (provozní údaje, zbývající doba, test) celk. provoz. doba, rozhraní RS232, software pro shutdown, el. bypass, statický bypass, reléová karta pro 3 výstupy, tepl. okolí 0-40°C (opt. tepl. +20°C), IP21, pro napájení RPO po dobu 30 min. t.j. zálohovat ventilátor 0,75kW/1,58A, provozní ventilátor 0,37kW/1A, MaR 0,2kW, 0,1kW rezerva. ECO Smart Active; 10kVA/9kW; vstup/výstup: 3-fáze/3-fáze; 400V; 50Hz; s bateriemi uvnitř UPS, s účinností 99%; vstupní účiník 0,99; THDi&lt;3%; AC/AC účinnost v on-line režimu 96,5%; TNS, připojení pohyblivé, přetížitelnost: na 168% po dobu 5 sec.; Automatický i manuální elektronický by-pass uvnitř UPS, EPO kontakt pro dálkové bezpečnostní vypnutí UPS tlačítkem CENTRAL/TOTAL STOP;  Akumulátory na více než 30 minut provozu; typ: uzavřené, bez-údržbové, UPS (šhv) a hmotnost včetně baterií: 440 x 850 x 1320 mm; 205 kg; zatížení podlahy: 0,7 t/m2; (baterie (100kg) budou stěhovány samostatně), Požadavek na chlazení UPS: tepelné ztráty v režimu ECO / Smart-Active: Q &lt; 200 W; v režimu dvojí konverze: 400 W; větrání  0,1m3/hod </t>
  </si>
  <si>
    <t>Zatažení kabelu do chráničky - kabel do 4kg/m</t>
  </si>
  <si>
    <t>Elektroinstalační materiál</t>
  </si>
  <si>
    <t>Díl:</t>
  </si>
  <si>
    <t>Stavební přípomoce</t>
  </si>
  <si>
    <t>Průraz zdivem do tl. 45mm, otvor max. 150x100mm</t>
  </si>
  <si>
    <t>Zazdívky otvorů do max. 150x100mm</t>
  </si>
  <si>
    <t>Kapsa ve zdi do vel. 100x100mm</t>
  </si>
  <si>
    <t>Oprava omítek včetně malby</t>
  </si>
  <si>
    <t>Rozvaděče nn</t>
  </si>
  <si>
    <t>Rozvodnice oceloplechová, nástěnná, šíře 550mm, výška 650 atyp. náplň, ozn. "RPO"</t>
  </si>
  <si>
    <t>Rozvaděč,  ozn. "RH1", úpravy pro doplnění jističů dle výkresů</t>
  </si>
  <si>
    <t>Úprava rozváděče RL47 - demontáže jističů a dalších přístrojů, montáže nových dle výkresů</t>
  </si>
  <si>
    <t>Rozváděče nn</t>
  </si>
  <si>
    <t>Zkoušky, revize a HZS</t>
  </si>
  <si>
    <t>Celková prohlídka, zkoušení, měření a vyhotovení výchozí revizní zprávy</t>
  </si>
  <si>
    <t xml:space="preserve">Dokumentace skutečného provedení </t>
  </si>
  <si>
    <t>Zkušební provoz</t>
  </si>
  <si>
    <t>hod</t>
  </si>
  <si>
    <r>
      <t>Svítidlo  W60L60 1xLED34S/840 OC, (41W) ozn. "</t>
    </r>
    <r>
      <rPr>
        <b/>
        <sz val="8"/>
        <rFont val="Arial CE"/>
        <family val="0"/>
      </rPr>
      <t>E3</t>
    </r>
    <r>
      <rPr>
        <sz val="8"/>
        <rFont val="Arial CE"/>
        <family val="0"/>
      </rPr>
      <t>" - pouze demontáž a montáž</t>
    </r>
  </si>
  <si>
    <r>
      <t>Svítidlo nouz. s akum., S1, symetr. optika, obdél., ozn. "</t>
    </r>
    <r>
      <rPr>
        <b/>
        <sz val="8"/>
        <rFont val="Arial CE"/>
        <family val="0"/>
      </rPr>
      <t>NG</t>
    </r>
    <r>
      <rPr>
        <sz val="8"/>
        <rFont val="Arial CE"/>
        <family val="0"/>
      </rPr>
      <t>", IP6</t>
    </r>
    <r>
      <rPr>
        <strike/>
        <sz val="8"/>
        <rFont val="Arial CE"/>
        <family val="0"/>
      </rPr>
      <t>8</t>
    </r>
    <r>
      <rPr>
        <sz val="8"/>
        <rFont val="Arial CE"/>
        <family val="0"/>
      </rPr>
      <t>6, EX provedení</t>
    </r>
  </si>
  <si>
    <r>
      <t>Ukončení 2 - 5-ti žílových vodičů a kabelů izolovaných s označením a zapojením v rozvaděči nebo na přístroji do 2,5 mm</t>
    </r>
    <r>
      <rPr>
        <vertAlign val="superscript"/>
        <sz val="10"/>
        <rFont val="Arial"/>
        <family val="2"/>
      </rPr>
      <t>2</t>
    </r>
  </si>
  <si>
    <t>PČ</t>
  </si>
  <si>
    <t>Popis</t>
  </si>
  <si>
    <t>J.cena [CZK]</t>
  </si>
  <si>
    <t>Cena celkem
[CZK]</t>
  </si>
  <si>
    <t>Náklady soupisu celkem bez DPH</t>
  </si>
  <si>
    <t>URS</t>
  </si>
  <si>
    <t>Elektrická požární signalizace EPS</t>
  </si>
  <si>
    <t>742210821</t>
  </si>
  <si>
    <t>Demontáž hlásiče automatického bodového</t>
  </si>
  <si>
    <t>742210861</t>
  </si>
  <si>
    <t>Demontáž soklu hlásiče nebo patice</t>
  </si>
  <si>
    <t>742210121</t>
  </si>
  <si>
    <t>Montáž automatického hlásiče</t>
  </si>
  <si>
    <t xml:space="preserve">O2T multisenzorový hlásič do Ex prostředí, porovnáním signálů optických senzorů obou tras, dochází k redukování falešných poplachů vznikajících např. v důsledku výskytu vodní páry nebo prachu. Multisenzorový hlásič O2T je vhodný i pro použití s teplotou až do +65 °C. Procesně  
analogový hlásič s decentrální inteligencí, kontrolou vlastní funkce, nouzovou redundancí, ukládáním poplachových a provozních dat, zobrazením alarmu. Hlásič bez oddělovače, speciálně pro použití 
v oblastech ohrožených nebezpečím výbuchu. </t>
  </si>
  <si>
    <t>742210131</t>
  </si>
  <si>
    <t>Montáž patice</t>
  </si>
  <si>
    <t>Standardní patice automatických hlásičů</t>
  </si>
  <si>
    <t>Montáž bezpečnostní bariéry</t>
  </si>
  <si>
    <t>Bezpečnostní bariéra pro hlásiče do Ex prostředí adresná vč. krabice</t>
  </si>
  <si>
    <t>lahev zkušebního plynu</t>
  </si>
  <si>
    <t>742121001</t>
  </si>
  <si>
    <t>Montáž sdělovacího kabelu do 15 žil</t>
  </si>
  <si>
    <t>SHKFH-R 1x2x0,8 - stíněný kabel bezhalogenový dle ČSN 50267 a splňující vyhlášku č. 23/2008 Sb. (B2 ca s1d1)</t>
  </si>
  <si>
    <t>1-CHKE-V 2x1,5 - silový kabel P30-R, ohniodolný dle ČSN IEC60331, bezhalogenový dle ČSN 50267 a splňující vyhlášku č. 23/2008 Sb.</t>
  </si>
  <si>
    <t>742110011</t>
  </si>
  <si>
    <t>Montáž elektroinstalační plastové tuhé trubky uložené na příchytkách</t>
  </si>
  <si>
    <t>Elektroinstalační pevná trubka 25mm, samozhášivá, nízká mechanická odolnost, vč. příchytek a tvarovek</t>
  </si>
  <si>
    <t>742111001</t>
  </si>
  <si>
    <t>Montáž příchytek pro kabely vč. šroubu a hmoždinky</t>
  </si>
  <si>
    <t>Úchytka pro jednotlivý kabel průměru 8mm, P30-R</t>
  </si>
  <si>
    <t>Úchytka pro jednotlivý kabel průměru 12mm, P30-R</t>
  </si>
  <si>
    <t>Šroub 7,5x52, pro přímou instalaci do betonu, určeno pro požárně odolné trasy, vyhovuje předpisu ZP-27/2008</t>
  </si>
  <si>
    <t>742190004</t>
  </si>
  <si>
    <t>Aplikace požárně těsnícího materiálu</t>
  </si>
  <si>
    <t>Protipožární pěna pro zdivo, beton a sádrokarton, přetíratelný, 325ml</t>
  </si>
  <si>
    <t>742210251</t>
  </si>
  <si>
    <t>Připojení kontaktu ovládaného nebo monitorovaného</t>
  </si>
  <si>
    <t>742210401</t>
  </si>
  <si>
    <t>Programování základních parametrů ústředny EPS</t>
  </si>
  <si>
    <t>742210421</t>
  </si>
  <si>
    <t>Oživení systému EPS (na jeden detektor)</t>
  </si>
  <si>
    <t>742210503</t>
  </si>
  <si>
    <t>Koordinační funkční zkoušky EPS</t>
  </si>
  <si>
    <t>Výchozí revize systému EPS vč. vypracování revizní zprávy</t>
  </si>
  <si>
    <t>Ostatní montážní materiál - zahrnuje dodávku veškerého dalšího instalačního materiálu nutného k zajištění plné funkčnosti a splnění všech norem uvedených v technické zprávě a jeho řádné předání objednateli  (vruty, hmoždinky, stahovací pásky, sádra apod.)</t>
  </si>
  <si>
    <t>Stavební přípomoci - Cena zahrnuje komplexní náklady na tyto drobné stavení činnosti včetně materiálu. Jedná se o veškeré průrazy a jejich utěsnění po montáži a jiné drobné stavební činnosti nutné pro instalaci systému a jeho vedení</t>
  </si>
  <si>
    <t>Vypracování dokumentace skutečného stavu, tisk a kompletace 6 paré</t>
  </si>
  <si>
    <t>Ostatní režijní náklady (cestovné, náhrady, ubytování atd.)</t>
  </si>
  <si>
    <t>Strukturovaná kabeláž</t>
  </si>
  <si>
    <t>Montáž optické zásuvky</t>
  </si>
  <si>
    <t>Optická zásuvka na omítku, 1x pozice pro SC duplex vč. krabičky a pigtailu</t>
  </si>
  <si>
    <t>Montáž kompletní optické vany</t>
  </si>
  <si>
    <t>Kompletně vybavená optická vana 19" 1U, výsuvná, včetně popisek, vyvazovací oka pro organizaci, černá, 4x pigtail 9/125 E2000, optické kazety, ochrany svárů</t>
  </si>
  <si>
    <t>742330028</t>
  </si>
  <si>
    <t>Svařování pigtailu</t>
  </si>
  <si>
    <t>742330031</t>
  </si>
  <si>
    <t>Teplem smrštitelná ochrana sváru</t>
  </si>
  <si>
    <t>Optický kabel 4x9/125, univerzální</t>
  </si>
  <si>
    <t>742330102</t>
  </si>
  <si>
    <t>Měření optického segmentu, měření útlumu, vypracování měřího protokolu</t>
  </si>
  <si>
    <t>Poplachový zabezpečovací a tísňový systém PZTS</t>
  </si>
  <si>
    <t>742222832</t>
  </si>
  <si>
    <t>Demontáž detektoru na stěnu nebo na strop</t>
  </si>
  <si>
    <t>SYSTÉM KONTROLY VSTUPU EKV</t>
  </si>
  <si>
    <t>Zapojení zámku do EKV</t>
  </si>
  <si>
    <t>Montáž zámků provede dodavatel dveří</t>
  </si>
  <si>
    <t>Kabel W6XS (4x0,5+2x0,8)</t>
  </si>
  <si>
    <t>742110001</t>
  </si>
  <si>
    <t>Montáž trubek pro slaboproud plastových ohebných uložených pod omítku se zasekáním</t>
  </si>
  <si>
    <t>Elektroinstalační ohebná trubka 23mm, samozhášivá, nízká mechanická odolnost</t>
  </si>
  <si>
    <t>742110501</t>
  </si>
  <si>
    <t>Montáž elektroinstalační krabice s víčkem, kruhové</t>
  </si>
  <si>
    <t>KU68 - krabice rozvodná univerzální pod omítku s věnečkem</t>
  </si>
  <si>
    <t xml:space="preserve">MĚŘENÍ A REGULACE </t>
  </si>
  <si>
    <t>Obsah</t>
  </si>
  <si>
    <t>1. Periferie</t>
  </si>
  <si>
    <t>2. Rozvaděč MR03, ovládací skřínka Rovl</t>
  </si>
  <si>
    <t xml:space="preserve">3. Topologie, centrála </t>
  </si>
  <si>
    <t>4. Kabeláž, kabelové trasy</t>
  </si>
  <si>
    <t>5. Ostatní náklady</t>
  </si>
  <si>
    <t>Kryt rotačního servopohonu GMA, GEB, položka obsahuje dodávku a montáž prvku</t>
  </si>
  <si>
    <t>Klapkový pohon 24VAC, spojitý 0-10V, zp.sign. 0-10V, 7 Nm, havar. fce, 90s/15s, položka obsahuje dodávku a montáž prvku</t>
  </si>
  <si>
    <t>Klapkový pohon 230VAC, toč. 2-bod, 7 Nm, havar. fce, 2x spínač, položka obsahuje dodávku a montáž prvku</t>
  </si>
  <si>
    <t>Klapkový pohon 24VAC, toč. 2-bod, 4 Nm, havar. fce, 60/15s, 2x pom.spínač, položka obsahuje dodávku a montáž prvku</t>
  </si>
  <si>
    <t>Klapkový pohon 230VAC, toč. 2-bod, 4 Nm, havar. fce, 60/15s, 2x pom.spínač, položka obsahuje dodávku a montáž prvku</t>
  </si>
  <si>
    <t>Čidlo tlakové diference, ±50Pa, ±100Pa, 0-100Pa, 0-10V, 24VAC, položka obsahuje dodávku a montáž prvku</t>
  </si>
  <si>
    <t>Diferenční tlakový spínač 20...300 Pa, položka obsahuje dodávku a montáž prvku</t>
  </si>
  <si>
    <t>Nástěnná skříň, oceloplechová, IP66, 800x1200x300, s deskou, RAL7035, položka obsahuje dodávku prvku, montáž a zapojení viz položka "ostaní náklady/výroba rozvaděče"</t>
  </si>
  <si>
    <t>Anténa k GSM hlásiči, položka obsahuje dodávku prvku, montáž a zapojení viz položka "ostaní náklady/výroba rozvaděče"</t>
  </si>
  <si>
    <t>Akustická signálka přeruš. tón, 24VDC, IP30, Φ22mm, položka obsahuje dodávku prvku, montáž a zapojení viz položka "ostaní náklady/výroba rozvaděče"</t>
  </si>
  <si>
    <t>Jistič C6/1, 10kA, položka obsahuje dodávku prvku, montáž a zapojení viz položka "ostaní náklady/výroba rozvaděče"</t>
  </si>
  <si>
    <t>Pom.kontakt k jističi, 1Z+1R, položka obsahuje dodávku prvku, montáž a zapojení viz položka "ostaní náklady/výroba rozvaděče"</t>
  </si>
  <si>
    <t>Vypínací cívka B-FA/230V, položka obsahuje dodávku prvku, montáž a zapojení viz položka "ostaní náklady/výroba rozvaděče"</t>
  </si>
  <si>
    <t>Přepěťová ochrana s VF filtrem,230V,16A, signalizace, položka obsahuje dodávku prvku, montáž a zapojení viz položka "ostaní náklady/výroba rozvaděče"</t>
  </si>
  <si>
    <t>Kombinovaná hrubá a jemná přepěťová ochrana, 12VDC/370mA, dvoužil. linky, položka obsahuje dodávku prvku, montáž a zapojení viz položka "ostaní náklady/výroba rozvaděče"</t>
  </si>
  <si>
    <t>Kombinovaná hrubá a jemná přepěťová ochrana, 24VDC/2A, dvoužil. linky, položka obsahuje dodávku prvku, montáž a zapojení viz položka "ostaní náklady/výroba rozvaděče"</t>
  </si>
  <si>
    <t>Kombinovaná hrubá a jemná přepěťová ochrana, 24VDC/60mA, dvoužil. linky, položka obsahuje dodávku prvku, montáž a zapojení viz položka "ostaní náklady/výroba rozvaděče"</t>
  </si>
  <si>
    <t>Ethernet Switch, 5 Port(RJ45), DIN-Rail, 24VDC, položka obsahuje dodávku prvku, montáž a zapojení viz položka "ostaní náklady/výroba rozvaděče"</t>
  </si>
  <si>
    <t>Zálohovací modul k GSM hlásiči, položka obsahuje dodávku prvku, montáž a zapojení viz položka "ostaní náklady/výroba rozvaděče"</t>
  </si>
  <si>
    <t>GSM ovládač a hlásič 4x vstup, 2x výstup, 12VDC, až 100 čísel, položka obsahuje dodávku prvku, montáž a zapojení viz položka "ostaní náklady/výroba rozvaděče"</t>
  </si>
  <si>
    <t>Signálka LED, otvor 22mm, 230V rudá, položka obsahuje dodávku prvku, montáž a zapojení viz položka "ostaní náklady/výroba rozvaděče"</t>
  </si>
  <si>
    <t>Signálka LED, otvor 22mm, 230V bílá, položka obsahuje dodávku prvku, montáž a zapojení viz položka "ostaní náklady/výroba rozvaděče"</t>
  </si>
  <si>
    <t>Řadová svorka do 2,5mm², šedá, šroubová, položka obsahuje dodávku prvku, montáž a zapojení viz položka "ostaní náklady/výroba rozvaděče"</t>
  </si>
  <si>
    <t>Příchytka pro 2 nulové lišty 16mm², DIN</t>
  </si>
  <si>
    <t>Nulová lišta 16mm², 63A, 1m</t>
  </si>
  <si>
    <t>Ethernet mediakonvertor (1xRJ45+2xSC optic),multimod, DIN-Rail,24VDC, položka obsahuje dodávku prvku, montáž a zapojení viz položka "ostaní náklady/výroba rozvaděče"</t>
  </si>
  <si>
    <t>Poj.odpojovač 1P do 32A vč.pojistky, 100kA, položka obsahuje dodávku prvku, montáž a zapojení viz položka "ostaní náklady/výroba rozvaděče"</t>
  </si>
  <si>
    <t>Svítidlo do rozvaděče s vypínačem, LED, 10W, 230V, vč.příslušenství, položka obsahuje dodávku prvku, montáž a zapojení viz položka "ostaní náklady/výroba rozvaděče"</t>
  </si>
  <si>
    <t>Signálka LED ,otvor 12mm, 24VDC zelená, položka obsahuje dodávku prvku, montáž a zapojení viz položka "ostaní náklady/výroba rozvaděče"</t>
  </si>
  <si>
    <t>Signálka LED ,otvor 12mm, 24VDC oranžová, položka obsahuje dodávku prvku, montáž a zapojení viz položka "ostaní náklady/výroba rozvaděče"</t>
  </si>
  <si>
    <t>Signálka LED ,otvor 12mm, 24VDC červená, položka obsahuje dodávku prvku, montáž a zapojení viz položka "ostaní náklady/výroba rozvaděče"</t>
  </si>
  <si>
    <t>Kabelový kanál 60x60 (šxv) do rozvaděče, RAL7030, délka 2m, položka obsahuje dodávku prvku, montáž a zapojení viz položka "ostaní náklady/výroba rozvaděče"</t>
  </si>
  <si>
    <t>Kabelový kanál 80x60 (šxv) do rozvaděče, RAL7030, délka 2m, položka obsahuje dodávku prvku, montáž a zapojení viz položka "ostaní náklady/výroba rozvaděče"</t>
  </si>
  <si>
    <t>Trafo 230V/24V 160VA, bezpečnostní ČSN EN 61558, položka obsahuje dodávku prvku, montáž a zapojení viz položka "ostaní náklady/výroba rozvaděče"</t>
  </si>
  <si>
    <t>Napájecí spínaný zdroj na DIN, 230VAC/24VDC, 60W, 2.5A, položka obsahuje dodávku prvku, montáž a zapojení viz položka "ostaní náklady/výroba rozvaděče"</t>
  </si>
  <si>
    <t>Řídící podstanice PXC100 modulární, 200 I/O, BACnet/IP, položka obsahuje dodávku prvku, montáž a zapojení viz položka "ostaní náklady/výroba rozvaděče"</t>
  </si>
  <si>
    <t>Ovládací panel s LCD displejem-Ethernet, položka obsahuje dodávku prvku, montáž a zapojení viz položka "ostaní náklady/výroba rozvaděče"</t>
  </si>
  <si>
    <t>Rázová oddělovací tlumivka 16A, položka obsahuje dodávku prvku, montáž a zapojení viz položka "ostaní náklady/výroba rozvaděče"</t>
  </si>
  <si>
    <t>Nástěnná krabice, plast, plné víko, IP56, 380×300×120, bez vývodek, položka obsahuje dodávku prvku, montáž a zapojení viz položka "ostaní náklady/výroba rozvaděče"</t>
  </si>
  <si>
    <t>Svodič přepětí, 2 pól, typ2, 230V, vyjímatelný modul, signalizace, položka obsahuje dodávku prvku, montáž a zapojení viz položka "ostaní náklady/výroba rozvaděče"</t>
  </si>
  <si>
    <t>Modul pro integraci cizích systémů, 40DP, 2xEth, RS485/232, položka obsahuje dodávku prvku, montáž a zapojení viz položka "ostaní náklady/výroba rozvaděče"</t>
  </si>
  <si>
    <t>Modul digitálních vstupů, 16 I/O, položka obsahuje dodávku prvku, montáž a zapojení viz položka "ostaní náklady/výroba rozvaděče"</t>
  </si>
  <si>
    <t>Modul digitálních výstupů, 6 I/O, položka obsahuje dodávku prvku, montáž a zapojení viz položka "ostaní náklady/výroba rozvaděče"</t>
  </si>
  <si>
    <t>Modul univerzálních vstupů, výstupů, 8 I/O, položka obsahuje dodávku prvku, montáž a zapojení viz položka "ostaní náklady/výroba rozvaděče"</t>
  </si>
  <si>
    <t>Napájecí modul 1.2 A, pojistka 10A, položka obsahuje dodávku prvku, montáž a zapojení viz položka "ostaní náklady/výroba rozvaděče"</t>
  </si>
  <si>
    <t>Sběrnicový modul, pojistka 10A, položka obsahuje dodávku prvku, montáž a zapojení viz položka "ostaní náklady/výroba rozvaděče"</t>
  </si>
  <si>
    <t>Ovladač stiskací s návratem, Ø22, modrá, položka obsahuje dodávku prvku, montáž a zapojení viz položka "ostaní náklady/výroba rozvaděče"</t>
  </si>
  <si>
    <t>Ovladač otočný 2 polohy,1Z,1R, černý, se žlutým prosvětlením 24V, položka obsahuje dodávku prvku, montáž a zapojení viz položka "ostaní náklady/výroba rozvaděče"</t>
  </si>
  <si>
    <t>Pom.relé 24VAC, 8A, 2P, 4kV, vč.patice pro relé XT_2kont., položka obsahuje dodávku prvku, montáž a zapojení viz položka "ostaní náklady/výroba rozvaděče"</t>
  </si>
  <si>
    <t>Pom.relé 24VDC, 8A, 2P, 4kV, vč.patice pro relé XT_2kont., položka obsahuje dodávku prvku, montáž a zapojení viz položka "ostaní náklady/výroba rozvaděče"</t>
  </si>
  <si>
    <t>Pom.relé 230VAC, 8A, 2P, 4kV, vč.patice pro relé XT_2kont., položka obsahuje dodávku prvku, montáž a zapojení viz položka "ostaní náklady/výroba rozvaděče"</t>
  </si>
  <si>
    <t>Spojovaci dil/adapter, na hlavici ovladače/signálky, položka obsahuje dodávku prvku, montáž a zapojení viz položka "ostaní náklady/výroba rozvaděče"</t>
  </si>
  <si>
    <t>Spínací jednotka k ovladači, šroubová, 2NO, položka obsahuje dodávku prvku, montáž a zapojení viz položka "ostaní náklady/výroba rozvaděče"</t>
  </si>
  <si>
    <t>CMP-LSL.05</t>
  </si>
  <si>
    <t>100 datových bodů pro DESIGO INSIGHT V.5.0</t>
  </si>
  <si>
    <t xml:space="preserve">4. Kabeláž, kabelové trasy </t>
  </si>
  <si>
    <t>DZ 60X100_BF</t>
  </si>
  <si>
    <t>Kabelový žlab drátěný 60X100_BF, s příslušenstvím, pozink, s funkční schopností při požáruP90-R(metry)</t>
  </si>
  <si>
    <t>KZI 60x100x0.75</t>
  </si>
  <si>
    <t>Kabelový žlab 100x60x0.75, s příslušenstvím, perfor., pozink, (metry)</t>
  </si>
  <si>
    <t>Nosné konstrukce</t>
  </si>
  <si>
    <t>Nosné konstrukce pro kabelové žlaby vč. veškerého příslušenství, (metry)</t>
  </si>
  <si>
    <t>Požární ucpávka</t>
  </si>
  <si>
    <t>Požární kabelová ucpávka do otvoru 150x150x300mm, EI dle konstrukce</t>
  </si>
  <si>
    <t>TSS-216</t>
  </si>
  <si>
    <t>Chránička ohebná ocel nerez s příslušenstvím, 15.5x18.5mm, IP50</t>
  </si>
  <si>
    <t>1-CXKH-V P30 2x1,5</t>
  </si>
  <si>
    <t>Kabel silový s funkční schopností při požáru P30-R, položka obsahuje dodávku a pokládku kabelu do kabelových tras vč. veškerého příslušenství</t>
  </si>
  <si>
    <t>JE-Y(St)Y Bd 1x2x0,8</t>
  </si>
  <si>
    <t>Kabel sdělovací, položka obsahuje dodávku a pokládku kabelu do kabelových tras vč. veškerého příslušenství</t>
  </si>
  <si>
    <t>JE-Y(St)Y Bd 2x2x0,8</t>
  </si>
  <si>
    <t>JE-Y(St)Y Bd 4x2x0,8</t>
  </si>
  <si>
    <t>JXFE-V P30 4x2x0,8</t>
  </si>
  <si>
    <t>Kabel sdělovací s funkční schopností při požáru P30-R, položka obsahuje dodávku a pokládku kabelu do kabelových tras vč. veškerého příslušenství</t>
  </si>
  <si>
    <t>J-Y(St)Y 1x2x0,8</t>
  </si>
  <si>
    <t>J-Y(St)Y 20x2x0,8</t>
  </si>
  <si>
    <t>J-Y(St)Y 2x2x0,8</t>
  </si>
  <si>
    <t>J-Y(St)T 4x2x0,8</t>
  </si>
  <si>
    <t>JYTY_O 2x1</t>
  </si>
  <si>
    <t>JYTY_O 4x1</t>
  </si>
  <si>
    <t>JYTY_O 7x1</t>
  </si>
  <si>
    <t>JYTY_O 14x1</t>
  </si>
  <si>
    <t>5. Ostatní náklady MR03</t>
  </si>
  <si>
    <t xml:space="preserve">Dílenská dokumentace rozvaděče MR03, položka obsahuje dodávku </t>
  </si>
  <si>
    <t xml:space="preserve">Dílenská dokumentace rozvaděče Rovl, položka obsahuje dodávku </t>
  </si>
  <si>
    <t xml:space="preserve">Výroba rozvaděče MR03, položka obsahuje výrobu rozvaděče dle dílenské dokumentace, vč. zpojení prvků, vč. dodávky pomocného materiálu, vč. zkoušek a příslušných dokumentů, vč.instalace na stavbě </t>
  </si>
  <si>
    <t xml:space="preserve">Výroba rozvaděče Rovl, položka obsahuje výrobu rozvaděče dle dílenské dokumentace, vč. zpojení prvků, vč. dodávky pomocného materiálu, vč. zkoušek a příslušných dokumentů, vč.instalace na stavbě </t>
  </si>
  <si>
    <t>Zapojení kabelů na obou koncích, položka obsahuje zapojení kabelů na straně rozvaděče a na straně periferie</t>
  </si>
  <si>
    <t xml:space="preserve">Výroba sw pro PLC podstanice (DP), položka obsahuje dodávku </t>
  </si>
  <si>
    <t>Datová Integrace ústředny DP - Modbus, položka obsahuje dodávku</t>
  </si>
  <si>
    <t xml:space="preserve">Výroba grafiky do vizualizační stanice vč. grafiky pro webové rozhraní (PLC+Mbus=DP), položka obsahuje dodávku grafických stránek zařízení vč. odatování </t>
  </si>
  <si>
    <t xml:space="preserve">Oživení regulace a provedení zkoušek (PLC+Mbus), položka obsahuje dodávku </t>
  </si>
  <si>
    <t xml:space="preserve">Dokumentace skutečného provedení, položka obsahuje dodávku </t>
  </si>
  <si>
    <t>Další zboží neuvedené v položkové nabídce, položka obsahuje dodávku pomocného materiálu nespecifikovaného v projektu</t>
  </si>
  <si>
    <t xml:space="preserve">Ostatní náklady, režie, revize, doprava atd., položka obsahuje dodávku </t>
  </si>
  <si>
    <t xml:space="preserve">Typ                                              </t>
  </si>
  <si>
    <t xml:space="preserve">Popis                                                                                                                      </t>
  </si>
  <si>
    <t xml:space="preserve">Jednotka  </t>
  </si>
  <si>
    <t>Jedn.cena</t>
  </si>
  <si>
    <t>Jedn.cena  montáž</t>
  </si>
  <si>
    <t>Položka</t>
  </si>
  <si>
    <t xml:space="preserve">Cena    </t>
  </si>
  <si>
    <t>Projektové řízení</t>
  </si>
  <si>
    <t xml:space="preserve">Rozpočtové náklady </t>
  </si>
  <si>
    <t>CELKEM  Silnoproud</t>
  </si>
  <si>
    <t>ROZVODY PLYNŮ</t>
  </si>
  <si>
    <t xml:space="preserve"> PLYNOVÁ DETEKCE</t>
  </si>
  <si>
    <t>SOUPIS MATERIÁLU A PRACÍ</t>
  </si>
  <si>
    <t xml:space="preserve"> SILNOPROUD</t>
  </si>
  <si>
    <t>Elektro slaboproud</t>
  </si>
  <si>
    <t xml:space="preserve">VZDUCHOTECHNIKA </t>
  </si>
  <si>
    <t>VRN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</si>
</sst>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  <numFmt numFmtId="168" formatCode="#,##0.0"/>
    <numFmt numFmtId="169" formatCode="#,##0\ &quot;Kč&quot;"/>
    <numFmt numFmtId="170" formatCode="0.0"/>
    <numFmt numFmtId="171" formatCode="&quot; &quot;* #,##0.00&quot; Kč &quot;;&quot;-&quot;* #,##0.00&quot; Kč &quot;;&quot; &quot;* &quot;-&quot;??&quot; Kč &quot;"/>
    <numFmt numFmtId="172" formatCode="#,##0.00\ _K_č"/>
    <numFmt numFmtId="173" formatCode="#,##0.00\ &quot;Kč&quot;"/>
    <numFmt numFmtId="174" formatCode="#,##0.000"/>
    <numFmt numFmtId="175" formatCode="#,##0.000;\-#,##0.000"/>
    <numFmt numFmtId="176" formatCode="0;\-0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7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b/>
      <i/>
      <sz val="10"/>
      <color indexed="19"/>
      <name val="Arial"/>
      <family val="2"/>
    </font>
    <font>
      <sz val="18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1"/>
      <name val="Calibri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Trebuchet MS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Trebuchet MS"/>
      <family val="2"/>
    </font>
    <font>
      <sz val="10"/>
      <color theme="1"/>
      <name val="Arial Unicode MS"/>
      <family val="2"/>
    </font>
    <font>
      <b/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thin"/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/>
      <right style="thin"/>
      <top style="hair">
        <color indexed="55"/>
      </top>
      <bottom/>
    </border>
    <border>
      <left/>
      <right style="thin"/>
      <top/>
      <bottom/>
    </border>
    <border>
      <left style="dotted">
        <color rgb="FF969696"/>
      </left>
      <right style="thin"/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thin"/>
      <top style="hair">
        <color indexed="55"/>
      </top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/>
      <top style="medium"/>
      <bottom style="thin">
        <color indexed="10"/>
      </bottom>
    </border>
    <border>
      <left style="medium"/>
      <right style="thin">
        <color indexed="8"/>
      </right>
      <top style="thin">
        <color indexed="10"/>
      </top>
      <bottom style="thin">
        <color indexed="10"/>
      </bottom>
    </border>
    <border>
      <left style="medium"/>
      <right style="thin">
        <color indexed="8"/>
      </right>
      <top style="thin">
        <color indexed="10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 style="thin">
        <color indexed="10"/>
      </right>
      <top style="medium"/>
      <bottom style="thin">
        <color indexed="10"/>
      </bottom>
    </border>
    <border>
      <left style="thin">
        <color indexed="10"/>
      </left>
      <right style="thin">
        <color indexed="8"/>
      </right>
      <top style="medium"/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8"/>
      </right>
      <top style="thin">
        <color indexed="10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>
        <color indexed="10"/>
      </right>
      <top style="medium"/>
      <bottom style="medium"/>
    </border>
    <border>
      <left/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/>
      <top style="medium"/>
      <bottom style="medium"/>
    </border>
    <border>
      <left style="thin">
        <color indexed="10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5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3" fillId="0" borderId="0" applyAlignment="0">
      <protection locked="0"/>
    </xf>
    <xf numFmtId="0" fontId="0" fillId="0" borderId="0">
      <alignment/>
      <protection/>
    </xf>
    <xf numFmtId="0" fontId="0" fillId="0" borderId="0">
      <alignment vertical="top"/>
      <protection/>
    </xf>
    <xf numFmtId="0" fontId="28" fillId="0" borderId="0">
      <alignment/>
      <protection/>
    </xf>
    <xf numFmtId="0" fontId="23" fillId="0" borderId="0" applyAlignment="0">
      <protection locked="0"/>
    </xf>
    <xf numFmtId="0" fontId="16" fillId="0" borderId="0">
      <alignment/>
      <protection/>
    </xf>
    <xf numFmtId="0" fontId="61" fillId="0" borderId="0" applyNumberFormat="0" applyFill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42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7" fillId="33" borderId="15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5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5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9" fillId="34" borderId="28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 horizontal="right" vertical="center"/>
      <protection/>
    </xf>
    <xf numFmtId="168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70" fillId="0" borderId="29" xfId="0" applyFont="1" applyBorder="1" applyAlignment="1">
      <alignment horizontal="left" vertical="center" wrapText="1" shrinkToFit="1"/>
    </xf>
    <xf numFmtId="0" fontId="70" fillId="0" borderId="29" xfId="0" applyFont="1" applyBorder="1" applyAlignment="1">
      <alignment horizontal="center" vertical="center"/>
    </xf>
    <xf numFmtId="0" fontId="70" fillId="0" borderId="28" xfId="0" applyFont="1" applyBorder="1" applyAlignment="1">
      <alignment horizontal="left" vertical="center"/>
    </xf>
    <xf numFmtId="0" fontId="70" fillId="35" borderId="29" xfId="0" applyFont="1" applyFill="1" applyBorder="1" applyAlignment="1">
      <alignment horizontal="center" vertical="center"/>
    </xf>
    <xf numFmtId="169" fontId="70" fillId="0" borderId="28" xfId="0" applyNumberFormat="1" applyFont="1" applyBorder="1" applyAlignment="1">
      <alignment horizontal="center" vertical="center"/>
    </xf>
    <xf numFmtId="169" fontId="70" fillId="0" borderId="29" xfId="0" applyNumberFormat="1" applyFont="1" applyBorder="1" applyAlignment="1">
      <alignment horizontal="center" vertical="center"/>
    </xf>
    <xf numFmtId="0" fontId="70" fillId="0" borderId="29" xfId="0" applyFont="1" applyFill="1" applyBorder="1" applyAlignment="1">
      <alignment horizontal="left" vertical="center" wrapText="1" shrinkToFit="1"/>
    </xf>
    <xf numFmtId="0" fontId="0" fillId="0" borderId="29" xfId="0" applyFont="1" applyBorder="1" applyAlignment="1">
      <alignment horizontal="left" vertical="center" wrapText="1" shrinkToFit="1"/>
    </xf>
    <xf numFmtId="0" fontId="0" fillId="35" borderId="29" xfId="0" applyFont="1" applyFill="1" applyBorder="1" applyAlignment="1">
      <alignment horizontal="center" vertical="center"/>
    </xf>
    <xf numFmtId="49" fontId="70" fillId="0" borderId="29" xfId="0" applyNumberFormat="1" applyFont="1" applyFill="1" applyBorder="1" applyAlignment="1">
      <alignment horizontal="left" vertical="center" wrapText="1" shrinkToFit="1"/>
    </xf>
    <xf numFmtId="49" fontId="70" fillId="36" borderId="29" xfId="0" applyNumberFormat="1" applyFont="1" applyFill="1" applyBorder="1" applyAlignment="1">
      <alignment horizontal="left" vertical="center" wrapText="1" shrinkToFit="1"/>
    </xf>
    <xf numFmtId="0" fontId="70" fillId="36" borderId="29" xfId="0" applyFont="1" applyFill="1" applyBorder="1" applyAlignment="1">
      <alignment horizontal="left" vertical="center" wrapText="1" shrinkToFit="1"/>
    </xf>
    <xf numFmtId="0" fontId="70" fillId="36" borderId="29" xfId="0" applyFont="1" applyFill="1" applyBorder="1" applyAlignment="1">
      <alignment horizontal="center" vertical="center"/>
    </xf>
    <xf numFmtId="169" fontId="70" fillId="36" borderId="2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30" xfId="0" applyFont="1" applyBorder="1" applyAlignment="1">
      <alignment vertical="center"/>
    </xf>
    <xf numFmtId="0" fontId="1" fillId="0" borderId="30" xfId="0" applyNumberFormat="1" applyFont="1" applyFill="1" applyBorder="1" applyAlignment="1" applyProtection="1">
      <alignment vertical="center"/>
      <protection/>
    </xf>
    <xf numFmtId="170" fontId="1" fillId="0" borderId="3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9" fillId="0" borderId="29" xfId="0" applyNumberFormat="1" applyFont="1" applyFill="1" applyBorder="1" applyAlignment="1" applyProtection="1">
      <alignment vertical="center"/>
      <protection/>
    </xf>
    <xf numFmtId="0" fontId="9" fillId="0" borderId="29" xfId="0" applyFont="1" applyBorder="1" applyAlignment="1">
      <alignment vertical="center"/>
    </xf>
    <xf numFmtId="43" fontId="1" fillId="0" borderId="30" xfId="0" applyNumberFormat="1" applyFont="1" applyFill="1" applyBorder="1" applyAlignment="1" applyProtection="1">
      <alignment horizontal="right" vertical="center" wrapText="1"/>
      <protection/>
    </xf>
    <xf numFmtId="43" fontId="1" fillId="0" borderId="3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37" borderId="29" xfId="0" applyFill="1" applyBorder="1" applyAlignment="1">
      <alignment/>
    </xf>
    <xf numFmtId="169" fontId="71" fillId="37" borderId="29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31" xfId="0" applyNumberFormat="1" applyFont="1" applyFill="1" applyBorder="1" applyAlignment="1">
      <alignment horizontal="center" vertical="center" wrapTex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32" xfId="0" applyNumberFormat="1" applyFont="1" applyFill="1" applyBorder="1" applyAlignment="1">
      <alignment horizontal="center" vertical="center"/>
    </xf>
    <xf numFmtId="49" fontId="11" fillId="38" borderId="33" xfId="0" applyNumberFormat="1" applyFont="1" applyFill="1" applyBorder="1" applyAlignment="1">
      <alignment horizontal="right" vertical="center" wrapText="1"/>
    </xf>
    <xf numFmtId="171" fontId="11" fillId="38" borderId="34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171" fontId="0" fillId="0" borderId="37" xfId="0" applyNumberFormat="1" applyFont="1" applyFill="1" applyBorder="1" applyAlignment="1">
      <alignment horizontal="center" vertical="center"/>
    </xf>
    <xf numFmtId="171" fontId="0" fillId="0" borderId="38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171" fontId="0" fillId="0" borderId="40" xfId="0" applyNumberFormat="1" applyFont="1" applyFill="1" applyBorder="1" applyAlignment="1">
      <alignment horizontal="center" vertical="center"/>
    </xf>
    <xf numFmtId="171" fontId="0" fillId="0" borderId="41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38" borderId="39" xfId="0" applyNumberFormat="1" applyFont="1" applyFill="1" applyBorder="1" applyAlignment="1">
      <alignment horizontal="center" vertical="center"/>
    </xf>
    <xf numFmtId="0" fontId="12" fillId="38" borderId="29" xfId="0" applyNumberFormat="1" applyFont="1" applyFill="1" applyBorder="1" applyAlignment="1">
      <alignment horizontal="center" vertical="center"/>
    </xf>
    <xf numFmtId="49" fontId="12" fillId="38" borderId="40" xfId="0" applyNumberFormat="1" applyFont="1" applyFill="1" applyBorder="1" applyAlignment="1">
      <alignment horizontal="center" vertical="center"/>
    </xf>
    <xf numFmtId="0" fontId="0" fillId="38" borderId="40" xfId="0" applyNumberFormat="1" applyFont="1" applyFill="1" applyBorder="1" applyAlignment="1">
      <alignment horizontal="center" vertical="center"/>
    </xf>
    <xf numFmtId="0" fontId="12" fillId="38" borderId="40" xfId="0" applyNumberFormat="1" applyFont="1" applyFill="1" applyBorder="1" applyAlignment="1">
      <alignment horizontal="center" vertical="center"/>
    </xf>
    <xf numFmtId="171" fontId="0" fillId="38" borderId="40" xfId="0" applyNumberFormat="1" applyFont="1" applyFill="1" applyBorder="1" applyAlignment="1">
      <alignment horizontal="center" vertical="center"/>
    </xf>
    <xf numFmtId="171" fontId="0" fillId="38" borderId="41" xfId="0" applyNumberFormat="1" applyFont="1" applyFill="1" applyBorder="1" applyAlignment="1">
      <alignment horizontal="center" vertical="center"/>
    </xf>
    <xf numFmtId="49" fontId="12" fillId="38" borderId="42" xfId="0" applyNumberFormat="1" applyFont="1" applyFill="1" applyBorder="1" applyAlignment="1">
      <alignment horizontal="center" vertical="center"/>
    </xf>
    <xf numFmtId="171" fontId="0" fillId="38" borderId="43" xfId="0" applyNumberFormat="1" applyFont="1" applyFill="1" applyBorder="1" applyAlignment="1">
      <alignment horizontal="center" vertical="center"/>
    </xf>
    <xf numFmtId="171" fontId="0" fillId="38" borderId="44" xfId="0" applyNumberFormat="1" applyFont="1" applyFill="1" applyBorder="1" applyAlignment="1">
      <alignment horizontal="center" vertical="center"/>
    </xf>
    <xf numFmtId="0" fontId="12" fillId="38" borderId="45" xfId="0" applyNumberFormat="1" applyFont="1" applyFill="1" applyBorder="1" applyAlignment="1">
      <alignment horizontal="center" vertical="center"/>
    </xf>
    <xf numFmtId="49" fontId="12" fillId="38" borderId="43" xfId="0" applyNumberFormat="1" applyFont="1" applyFill="1" applyBorder="1" applyAlignment="1">
      <alignment horizontal="center" vertical="center"/>
    </xf>
    <xf numFmtId="0" fontId="0" fillId="38" borderId="43" xfId="0" applyNumberFormat="1" applyFont="1" applyFill="1" applyBorder="1" applyAlignment="1">
      <alignment horizontal="center" vertical="center"/>
    </xf>
    <xf numFmtId="0" fontId="12" fillId="38" borderId="43" xfId="0" applyNumberFormat="1" applyFont="1" applyFill="1" applyBorder="1" applyAlignment="1">
      <alignment horizontal="center" vertical="center"/>
    </xf>
    <xf numFmtId="49" fontId="12" fillId="38" borderId="46" xfId="0" applyNumberFormat="1" applyFont="1" applyFill="1" applyBorder="1" applyAlignment="1">
      <alignment horizontal="center" vertical="center"/>
    </xf>
    <xf numFmtId="49" fontId="12" fillId="38" borderId="47" xfId="0" applyNumberFormat="1" applyFont="1" applyFill="1" applyBorder="1" applyAlignment="1">
      <alignment horizontal="center" vertical="center"/>
    </xf>
    <xf numFmtId="0" fontId="0" fillId="38" borderId="47" xfId="0" applyNumberFormat="1" applyFont="1" applyFill="1" applyBorder="1" applyAlignment="1">
      <alignment horizontal="center" vertical="center"/>
    </xf>
    <xf numFmtId="0" fontId="12" fillId="38" borderId="47" xfId="0" applyNumberFormat="1" applyFont="1" applyFill="1" applyBorder="1" applyAlignment="1">
      <alignment horizontal="center" vertical="center"/>
    </xf>
    <xf numFmtId="49" fontId="12" fillId="38" borderId="48" xfId="0" applyNumberFormat="1" applyFont="1" applyFill="1" applyBorder="1" applyAlignment="1">
      <alignment horizontal="center" vertical="center"/>
    </xf>
    <xf numFmtId="0" fontId="12" fillId="38" borderId="14" xfId="0" applyNumberFormat="1" applyFont="1" applyFill="1" applyBorder="1" applyAlignment="1">
      <alignment horizontal="center" vertical="center"/>
    </xf>
    <xf numFmtId="49" fontId="12" fillId="38" borderId="49" xfId="0" applyNumberFormat="1" applyFont="1" applyFill="1" applyBorder="1" applyAlignment="1">
      <alignment horizontal="center" vertical="center"/>
    </xf>
    <xf numFmtId="0" fontId="0" fillId="38" borderId="49" xfId="0" applyNumberFormat="1" applyFont="1" applyFill="1" applyBorder="1" applyAlignment="1">
      <alignment horizontal="center" vertical="center"/>
    </xf>
    <xf numFmtId="0" fontId="12" fillId="38" borderId="49" xfId="0" applyNumberFormat="1" applyFont="1" applyFill="1" applyBorder="1" applyAlignment="1">
      <alignment horizontal="center" vertical="center"/>
    </xf>
    <xf numFmtId="171" fontId="0" fillId="38" borderId="49" xfId="0" applyNumberFormat="1" applyFont="1" applyFill="1" applyBorder="1" applyAlignment="1">
      <alignment horizontal="center" vertical="center"/>
    </xf>
    <xf numFmtId="171" fontId="0" fillId="38" borderId="50" xfId="0" applyNumberFormat="1" applyFont="1" applyFill="1" applyBorder="1" applyAlignment="1">
      <alignment horizontal="center" vertical="center"/>
    </xf>
    <xf numFmtId="49" fontId="12" fillId="38" borderId="35" xfId="0" applyNumberFormat="1" applyFont="1" applyFill="1" applyBorder="1" applyAlignment="1">
      <alignment horizontal="center" vertical="center"/>
    </xf>
    <xf numFmtId="0" fontId="12" fillId="38" borderId="36" xfId="0" applyNumberFormat="1" applyFont="1" applyFill="1" applyBorder="1" applyAlignment="1">
      <alignment horizontal="center" vertical="center"/>
    </xf>
    <xf numFmtId="49" fontId="0" fillId="38" borderId="37" xfId="0" applyNumberFormat="1" applyFont="1" applyFill="1" applyBorder="1" applyAlignment="1">
      <alignment horizontal="center" vertical="center"/>
    </xf>
    <xf numFmtId="0" fontId="0" fillId="38" borderId="37" xfId="0" applyNumberFormat="1" applyFont="1" applyFill="1" applyBorder="1" applyAlignment="1">
      <alignment horizontal="center" vertical="center"/>
    </xf>
    <xf numFmtId="0" fontId="12" fillId="38" borderId="37" xfId="0" applyNumberFormat="1" applyFont="1" applyFill="1" applyBorder="1" applyAlignment="1">
      <alignment horizontal="center" vertical="center"/>
    </xf>
    <xf numFmtId="0" fontId="15" fillId="38" borderId="51" xfId="0" applyNumberFormat="1" applyFont="1" applyFill="1" applyBorder="1" applyAlignment="1">
      <alignment vertical="center" textRotation="90" wrapText="1"/>
    </xf>
    <xf numFmtId="171" fontId="0" fillId="38" borderId="37" xfId="0" applyNumberFormat="1" applyFont="1" applyFill="1" applyBorder="1" applyAlignment="1">
      <alignment horizontal="center" vertical="center"/>
    </xf>
    <xf numFmtId="171" fontId="0" fillId="38" borderId="38" xfId="0" applyNumberFormat="1" applyFont="1" applyFill="1" applyBorder="1" applyAlignment="1">
      <alignment horizontal="center" vertical="center"/>
    </xf>
    <xf numFmtId="0" fontId="15" fillId="38" borderId="49" xfId="0" applyNumberFormat="1" applyFont="1" applyFill="1" applyBorder="1" applyAlignment="1">
      <alignment vertical="center" textRotation="90" wrapText="1"/>
    </xf>
    <xf numFmtId="0" fontId="1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49" fontId="0" fillId="38" borderId="40" xfId="0" applyNumberFormat="1" applyFont="1" applyFill="1" applyBorder="1" applyAlignment="1">
      <alignment horizontal="center" vertical="center"/>
    </xf>
    <xf numFmtId="0" fontId="12" fillId="38" borderId="40" xfId="0" applyNumberFormat="1" applyFont="1" applyFill="1" applyBorder="1" applyAlignment="1">
      <alignment horizontal="center" vertical="center" wrapText="1"/>
    </xf>
    <xf numFmtId="0" fontId="0" fillId="38" borderId="40" xfId="0" applyNumberFormat="1" applyFill="1" applyBorder="1" applyAlignment="1">
      <alignment horizontal="center" vertical="center"/>
    </xf>
    <xf numFmtId="171" fontId="0" fillId="38" borderId="43" xfId="0" applyNumberFormat="1" applyFill="1" applyBorder="1" applyAlignment="1">
      <alignment horizontal="center" vertical="center"/>
    </xf>
    <xf numFmtId="171" fontId="0" fillId="38" borderId="41" xfId="0" applyNumberFormat="1" applyFill="1" applyBorder="1" applyAlignment="1">
      <alignment horizontal="center" vertical="center"/>
    </xf>
    <xf numFmtId="173" fontId="9" fillId="0" borderId="29" xfId="0" applyNumberFormat="1" applyFont="1" applyFill="1" applyBorder="1" applyAlignment="1" applyProtection="1">
      <alignment horizontal="right" vertical="center"/>
      <protection/>
    </xf>
    <xf numFmtId="0" fontId="51" fillId="0" borderId="0" xfId="47" applyAlignment="1">
      <alignment horizontal="center"/>
      <protection/>
    </xf>
    <xf numFmtId="0" fontId="52" fillId="0" borderId="0" xfId="47" applyFont="1">
      <alignment/>
      <protection/>
    </xf>
    <xf numFmtId="0" fontId="51" fillId="0" borderId="33" xfId="47" applyBorder="1" applyAlignment="1">
      <alignment horizontal="center"/>
      <protection/>
    </xf>
    <xf numFmtId="0" fontId="51" fillId="0" borderId="52" xfId="47" applyBorder="1">
      <alignment/>
      <protection/>
    </xf>
    <xf numFmtId="0" fontId="51" fillId="0" borderId="53" xfId="47" applyBorder="1">
      <alignment/>
      <protection/>
    </xf>
    <xf numFmtId="0" fontId="51" fillId="0" borderId="53" xfId="47" applyBorder="1" applyAlignment="1">
      <alignment horizontal="center"/>
      <protection/>
    </xf>
    <xf numFmtId="0" fontId="51" fillId="0" borderId="34" xfId="47" applyBorder="1" applyAlignment="1">
      <alignment horizontal="center"/>
      <protection/>
    </xf>
    <xf numFmtId="1" fontId="17" fillId="0" borderId="54" xfId="57" applyNumberFormat="1" applyFont="1" applyFill="1" applyBorder="1" applyAlignment="1" applyProtection="1">
      <alignment horizontal="center" vertical="top"/>
      <protection locked="0"/>
    </xf>
    <xf numFmtId="49" fontId="17" fillId="0" borderId="36" xfId="57" applyNumberFormat="1" applyFont="1" applyFill="1" applyBorder="1" applyAlignment="1" applyProtection="1">
      <alignment horizontal="left" vertical="top" wrapText="1"/>
      <protection locked="0"/>
    </xf>
    <xf numFmtId="174" fontId="17" fillId="0" borderId="36" xfId="57" applyNumberFormat="1" applyFont="1" applyFill="1" applyBorder="1" applyAlignment="1" applyProtection="1">
      <alignment horizontal="center"/>
      <protection locked="0"/>
    </xf>
    <xf numFmtId="174" fontId="17" fillId="0" borderId="55" xfId="57" applyNumberFormat="1" applyFont="1" applyFill="1" applyBorder="1" applyAlignment="1" applyProtection="1">
      <alignment horizontal="center"/>
      <protection locked="0"/>
    </xf>
    <xf numFmtId="1" fontId="17" fillId="0" borderId="56" xfId="57" applyNumberFormat="1" applyFont="1" applyFill="1" applyBorder="1" applyAlignment="1" applyProtection="1">
      <alignment horizontal="center" vertical="top"/>
      <protection locked="0"/>
    </xf>
    <xf numFmtId="49" fontId="17" fillId="0" borderId="29" xfId="57" applyNumberFormat="1" applyFont="1" applyFill="1" applyBorder="1" applyAlignment="1" applyProtection="1">
      <alignment horizontal="left" vertical="top" wrapText="1"/>
      <protection locked="0"/>
    </xf>
    <xf numFmtId="174" fontId="17" fillId="0" borderId="29" xfId="57" applyNumberFormat="1" applyFont="1" applyFill="1" applyBorder="1" applyAlignment="1" applyProtection="1">
      <alignment horizontal="center"/>
      <protection locked="0"/>
    </xf>
    <xf numFmtId="174" fontId="17" fillId="0" borderId="57" xfId="57" applyNumberFormat="1" applyFont="1" applyFill="1" applyBorder="1" applyAlignment="1" applyProtection="1">
      <alignment horizontal="center"/>
      <protection locked="0"/>
    </xf>
    <xf numFmtId="0" fontId="17" fillId="0" borderId="29" xfId="51" applyNumberFormat="1" applyFont="1" applyFill="1" applyBorder="1" applyAlignment="1">
      <alignment/>
      <protection/>
    </xf>
    <xf numFmtId="174" fontId="17" fillId="0" borderId="29" xfId="51" applyNumberFormat="1" applyFont="1" applyFill="1" applyBorder="1" applyAlignment="1">
      <alignment horizontal="center"/>
      <protection/>
    </xf>
    <xf numFmtId="174" fontId="17" fillId="0" borderId="57" xfId="51" applyNumberFormat="1" applyFont="1" applyFill="1" applyBorder="1" applyAlignment="1">
      <alignment horizontal="center"/>
      <protection/>
    </xf>
    <xf numFmtId="0" fontId="17" fillId="0" borderId="29" xfId="51" applyNumberFormat="1" applyFont="1" applyFill="1" applyBorder="1" applyAlignment="1">
      <alignment wrapText="1"/>
      <protection/>
    </xf>
    <xf numFmtId="49" fontId="21" fillId="0" borderId="56" xfId="50" applyNumberFormat="1" applyFont="1" applyFill="1" applyBorder="1" applyAlignment="1">
      <alignment horizontal="center"/>
      <protection/>
    </xf>
    <xf numFmtId="49" fontId="21" fillId="39" borderId="29" xfId="54" applyNumberFormat="1" applyFont="1" applyFill="1" applyBorder="1" applyAlignment="1">
      <alignment/>
      <protection/>
    </xf>
    <xf numFmtId="174" fontId="21" fillId="39" borderId="29" xfId="54" applyNumberFormat="1" applyFont="1" applyFill="1" applyBorder="1" applyAlignment="1">
      <alignment horizontal="center"/>
      <protection/>
    </xf>
    <xf numFmtId="174" fontId="21" fillId="39" borderId="57" xfId="54" applyNumberFormat="1" applyFont="1" applyFill="1" applyBorder="1" applyAlignment="1">
      <alignment horizontal="center"/>
      <protection/>
    </xf>
    <xf numFmtId="49" fontId="17" fillId="0" borderId="29" xfId="57" applyNumberFormat="1" applyFont="1" applyFill="1" applyBorder="1" applyAlignment="1" applyProtection="1">
      <alignment vertical="top" wrapText="1"/>
      <protection locked="0"/>
    </xf>
    <xf numFmtId="174" fontId="17" fillId="0" borderId="29" xfId="57" applyNumberFormat="1" applyFont="1" applyFill="1" applyBorder="1" applyAlignment="1" applyProtection="1">
      <alignment horizontal="center" vertical="top"/>
      <protection locked="0"/>
    </xf>
    <xf numFmtId="0" fontId="23" fillId="0" borderId="0" xfId="52" applyAlignment="1">
      <alignment horizontal="left" vertical="center"/>
      <protection locked="0"/>
    </xf>
    <xf numFmtId="0" fontId="24" fillId="0" borderId="0" xfId="52" applyFont="1" applyAlignment="1">
      <alignment horizontal="left" vertical="center" wrapText="1"/>
      <protection locked="0"/>
    </xf>
    <xf numFmtId="0" fontId="25" fillId="40" borderId="58" xfId="52" applyFont="1" applyFill="1" applyBorder="1" applyAlignment="1">
      <alignment horizontal="center" vertical="center" wrapText="1"/>
      <protection locked="0"/>
    </xf>
    <xf numFmtId="0" fontId="25" fillId="40" borderId="59" xfId="52" applyFont="1" applyFill="1" applyBorder="1" applyAlignment="1">
      <alignment horizontal="center" vertical="center" wrapText="1"/>
      <protection locked="0"/>
    </xf>
    <xf numFmtId="0" fontId="26" fillId="0" borderId="0" xfId="52" applyFont="1" applyAlignment="1">
      <alignment horizontal="left" vertical="center"/>
      <protection locked="0"/>
    </xf>
    <xf numFmtId="39" fontId="26" fillId="0" borderId="0" xfId="52" applyNumberFormat="1" applyFont="1" applyAlignment="1">
      <alignment horizontal="right"/>
      <protection locked="0"/>
    </xf>
    <xf numFmtId="39" fontId="27" fillId="41" borderId="60" xfId="52" applyNumberFormat="1" applyFont="1" applyFill="1" applyBorder="1" applyAlignment="1">
      <alignment horizontal="right"/>
      <protection locked="0"/>
    </xf>
    <xf numFmtId="49" fontId="23" fillId="0" borderId="61" xfId="52" applyNumberFormat="1" applyFont="1" applyBorder="1" applyAlignment="1">
      <alignment horizontal="left" vertical="center" wrapText="1"/>
      <protection locked="0"/>
    </xf>
    <xf numFmtId="0" fontId="72" fillId="0" borderId="61" xfId="52" applyFont="1" applyBorder="1" applyAlignment="1">
      <alignment horizontal="left" vertical="center" wrapText="1"/>
      <protection locked="0"/>
    </xf>
    <xf numFmtId="0" fontId="23" fillId="0" borderId="61" xfId="52" applyBorder="1" applyAlignment="1">
      <alignment horizontal="center" vertical="center" wrapText="1"/>
      <protection locked="0"/>
    </xf>
    <xf numFmtId="175" fontId="23" fillId="0" borderId="61" xfId="52" applyNumberFormat="1" applyBorder="1" applyAlignment="1">
      <alignment horizontal="right" vertical="center"/>
      <protection locked="0"/>
    </xf>
    <xf numFmtId="39" fontId="23" fillId="0" borderId="61" xfId="52" applyNumberFormat="1" applyBorder="1" applyAlignment="1">
      <alignment horizontal="right" vertical="center"/>
      <protection locked="0"/>
    </xf>
    <xf numFmtId="39" fontId="23" fillId="0" borderId="62" xfId="52" applyNumberFormat="1" applyBorder="1" applyAlignment="1">
      <alignment horizontal="right" vertical="center"/>
      <protection locked="0"/>
    </xf>
    <xf numFmtId="49" fontId="23" fillId="0" borderId="61" xfId="52" applyNumberFormat="1" applyBorder="1" applyAlignment="1">
      <alignment horizontal="left" vertical="center" wrapText="1"/>
      <protection locked="0"/>
    </xf>
    <xf numFmtId="0" fontId="23" fillId="0" borderId="61" xfId="52" applyFont="1" applyBorder="1" applyAlignment="1">
      <alignment horizontal="center" vertical="center" wrapText="1"/>
      <protection locked="0"/>
    </xf>
    <xf numFmtId="0" fontId="23" fillId="0" borderId="63" xfId="52" applyBorder="1" applyAlignment="1">
      <alignment horizontal="left" vertical="top"/>
      <protection locked="0"/>
    </xf>
    <xf numFmtId="39" fontId="27" fillId="41" borderId="64" xfId="52" applyNumberFormat="1" applyFont="1" applyFill="1" applyBorder="1" applyAlignment="1">
      <alignment horizontal="right"/>
      <protection locked="0"/>
    </xf>
    <xf numFmtId="0" fontId="23" fillId="0" borderId="61" xfId="56" applyBorder="1" applyAlignment="1">
      <alignment horizontal="center" vertical="center" wrapText="1"/>
      <protection locked="0"/>
    </xf>
    <xf numFmtId="175" fontId="23" fillId="0" borderId="61" xfId="56" applyNumberFormat="1" applyBorder="1" applyAlignment="1">
      <alignment horizontal="right" vertical="center"/>
      <protection locked="0"/>
    </xf>
    <xf numFmtId="4" fontId="23" fillId="0" borderId="65" xfId="55" applyNumberFormat="1" applyFont="1" applyBorder="1" applyAlignment="1" applyProtection="1">
      <alignment vertical="center"/>
      <protection locked="0"/>
    </xf>
    <xf numFmtId="0" fontId="23" fillId="0" borderId="66" xfId="55" applyFont="1" applyBorder="1" applyAlignment="1" applyProtection="1">
      <alignment horizontal="center" vertical="center" wrapText="1"/>
      <protection locked="0"/>
    </xf>
    <xf numFmtId="174" fontId="23" fillId="0" borderId="66" xfId="55" applyNumberFormat="1" applyFont="1" applyBorder="1" applyAlignment="1" applyProtection="1">
      <alignment vertical="center"/>
      <protection locked="0"/>
    </xf>
    <xf numFmtId="0" fontId="23" fillId="0" borderId="67" xfId="52" applyBorder="1" applyAlignment="1">
      <alignment horizontal="center" vertical="center"/>
      <protection locked="0"/>
    </xf>
    <xf numFmtId="49" fontId="23" fillId="0" borderId="12" xfId="52" applyNumberFormat="1" applyBorder="1" applyAlignment="1">
      <alignment horizontal="left" vertical="center" wrapText="1"/>
      <protection locked="0"/>
    </xf>
    <xf numFmtId="0" fontId="72" fillId="0" borderId="12" xfId="52" applyFont="1" applyBorder="1" applyAlignment="1">
      <alignment horizontal="left" vertical="center" wrapText="1"/>
      <protection locked="0"/>
    </xf>
    <xf numFmtId="0" fontId="23" fillId="0" borderId="12" xfId="52" applyBorder="1" applyAlignment="1">
      <alignment horizontal="center" vertical="center" wrapText="1"/>
      <protection locked="0"/>
    </xf>
    <xf numFmtId="175" fontId="23" fillId="0" borderId="12" xfId="52" applyNumberFormat="1" applyBorder="1" applyAlignment="1">
      <alignment horizontal="right" vertical="center"/>
      <protection locked="0"/>
    </xf>
    <xf numFmtId="39" fontId="23" fillId="0" borderId="12" xfId="52" applyNumberFormat="1" applyBorder="1" applyAlignment="1">
      <alignment horizontal="right" vertical="center"/>
      <protection locked="0"/>
    </xf>
    <xf numFmtId="39" fontId="23" fillId="0" borderId="68" xfId="52" applyNumberFormat="1" applyBorder="1" applyAlignment="1">
      <alignment horizontal="right" vertical="center"/>
      <protection locked="0"/>
    </xf>
    <xf numFmtId="0" fontId="23" fillId="41" borderId="24" xfId="52" applyFill="1" applyBorder="1" applyAlignment="1">
      <alignment horizontal="left"/>
      <protection locked="0"/>
    </xf>
    <xf numFmtId="0" fontId="27" fillId="41" borderId="0" xfId="52" applyFont="1" applyFill="1" applyBorder="1" applyAlignment="1">
      <alignment horizontal="left"/>
      <protection locked="0"/>
    </xf>
    <xf numFmtId="0" fontId="23" fillId="41" borderId="0" xfId="52" applyFill="1" applyBorder="1" applyAlignment="1">
      <alignment horizontal="left"/>
      <protection locked="0"/>
    </xf>
    <xf numFmtId="0" fontId="23" fillId="0" borderId="69" xfId="52" applyBorder="1" applyAlignment="1">
      <alignment horizontal="center" vertical="center"/>
      <protection locked="0"/>
    </xf>
    <xf numFmtId="0" fontId="23" fillId="0" borderId="24" xfId="52" applyBorder="1" applyAlignment="1">
      <alignment horizontal="left" vertical="top"/>
      <protection locked="0"/>
    </xf>
    <xf numFmtId="0" fontId="23" fillId="0" borderId="0" xfId="52" applyBorder="1" applyAlignment="1">
      <alignment horizontal="left" vertical="top"/>
      <protection locked="0"/>
    </xf>
    <xf numFmtId="0" fontId="23" fillId="41" borderId="24" xfId="52" applyFill="1" applyBorder="1" applyAlignment="1">
      <alignment horizontal="left" vertical="top"/>
      <protection locked="0"/>
    </xf>
    <xf numFmtId="0" fontId="23" fillId="0" borderId="70" xfId="52" applyBorder="1" applyAlignment="1">
      <alignment horizontal="center" vertical="center"/>
      <protection locked="0"/>
    </xf>
    <xf numFmtId="49" fontId="23" fillId="0" borderId="71" xfId="52" applyNumberFormat="1" applyBorder="1" applyAlignment="1">
      <alignment horizontal="left" vertical="center" wrapText="1"/>
      <protection locked="0"/>
    </xf>
    <xf numFmtId="0" fontId="72" fillId="0" borderId="71" xfId="52" applyFont="1" applyBorder="1" applyAlignment="1">
      <alignment horizontal="left" vertical="center" wrapText="1"/>
      <protection locked="0"/>
    </xf>
    <xf numFmtId="0" fontId="23" fillId="0" borderId="71" xfId="52" applyBorder="1" applyAlignment="1">
      <alignment horizontal="center" vertical="center" wrapText="1"/>
      <protection locked="0"/>
    </xf>
    <xf numFmtId="175" fontId="23" fillId="0" borderId="71" xfId="52" applyNumberFormat="1" applyBorder="1" applyAlignment="1">
      <alignment horizontal="right" vertical="center"/>
      <protection locked="0"/>
    </xf>
    <xf numFmtId="39" fontId="23" fillId="0" borderId="71" xfId="52" applyNumberFormat="1" applyBorder="1" applyAlignment="1">
      <alignment horizontal="right" vertical="center"/>
      <protection locked="0"/>
    </xf>
    <xf numFmtId="39" fontId="23" fillId="0" borderId="72" xfId="52" applyNumberFormat="1" applyBorder="1" applyAlignment="1">
      <alignment horizontal="right" vertical="center"/>
      <protection locked="0"/>
    </xf>
    <xf numFmtId="0" fontId="16" fillId="0" borderId="73" xfId="48" applyFont="1" applyBorder="1" applyAlignment="1">
      <alignment horizontal="center"/>
      <protection/>
    </xf>
    <xf numFmtId="0" fontId="16" fillId="0" borderId="73" xfId="48" applyBorder="1" applyAlignment="1">
      <alignment horizontal="center"/>
      <protection/>
    </xf>
    <xf numFmtId="1" fontId="16" fillId="0" borderId="73" xfId="61" applyNumberFormat="1" applyFont="1" applyBorder="1" applyAlignment="1">
      <alignment horizontal="center"/>
    </xf>
    <xf numFmtId="0" fontId="29" fillId="0" borderId="73" xfId="48" applyFont="1" applyBorder="1" applyAlignment="1">
      <alignment horizontal="justify" vertical="center" wrapText="1"/>
      <protection/>
    </xf>
    <xf numFmtId="0" fontId="22" fillId="0" borderId="73" xfId="48" applyFont="1" applyBorder="1" applyAlignment="1">
      <alignment horizontal="justify"/>
      <protection/>
    </xf>
    <xf numFmtId="0" fontId="31" fillId="0" borderId="73" xfId="48" applyFont="1" applyBorder="1" applyAlignment="1">
      <alignment horizontal="justify" vertical="center" wrapText="1"/>
      <protection/>
    </xf>
    <xf numFmtId="0" fontId="30" fillId="0" borderId="73" xfId="48" applyFont="1" applyBorder="1" applyAlignment="1">
      <alignment horizontal="justify"/>
      <protection/>
    </xf>
    <xf numFmtId="0" fontId="30" fillId="0" borderId="73" xfId="48" applyFont="1" applyBorder="1" applyAlignment="1">
      <alignment horizontal="center"/>
      <protection/>
    </xf>
    <xf numFmtId="0" fontId="16" fillId="0" borderId="73" xfId="48" applyFont="1" applyBorder="1" applyAlignment="1">
      <alignment horizontal="center" wrapText="1"/>
      <protection/>
    </xf>
    <xf numFmtId="1" fontId="30" fillId="0" borderId="73" xfId="48" applyNumberFormat="1" applyFont="1" applyBorder="1" applyAlignment="1">
      <alignment horizontal="center"/>
      <protection/>
    </xf>
    <xf numFmtId="0" fontId="16" fillId="0" borderId="73" xfId="48" applyFont="1" applyBorder="1" applyAlignment="1">
      <alignment horizontal="justify"/>
      <protection/>
    </xf>
    <xf numFmtId="0" fontId="16" fillId="0" borderId="73" xfId="48" applyFont="1" applyBorder="1" applyAlignment="1">
      <alignment horizontal="justify" vertical="center" wrapText="1"/>
      <protection/>
    </xf>
    <xf numFmtId="1" fontId="16" fillId="0" borderId="73" xfId="48" applyNumberFormat="1" applyFont="1" applyBorder="1" applyAlignment="1">
      <alignment horizontal="center"/>
      <protection/>
    </xf>
    <xf numFmtId="0" fontId="16" fillId="0" borderId="73" xfId="48" applyBorder="1">
      <alignment/>
      <protection/>
    </xf>
    <xf numFmtId="0" fontId="16" fillId="0" borderId="73" xfId="48" applyBorder="1" applyAlignment="1">
      <alignment vertical="center" wrapText="1"/>
      <protection/>
    </xf>
    <xf numFmtId="0" fontId="16" fillId="0" borderId="73" xfId="48" applyFont="1" applyBorder="1" applyAlignment="1">
      <alignment horizontal="justify" vertical="center"/>
      <protection/>
    </xf>
    <xf numFmtId="176" fontId="16" fillId="38" borderId="29" xfId="48" applyNumberFormat="1" applyFill="1" applyBorder="1" applyAlignment="1">
      <alignment horizontal="center" vertical="center"/>
      <protection/>
    </xf>
    <xf numFmtId="173" fontId="16" fillId="0" borderId="73" xfId="61" applyNumberFormat="1" applyFont="1" applyBorder="1" applyAlignment="1">
      <alignment horizontal="center"/>
    </xf>
    <xf numFmtId="173" fontId="22" fillId="0" borderId="73" xfId="61" applyNumberFormat="1" applyFont="1" applyBorder="1" applyAlignment="1">
      <alignment horizontal="right"/>
    </xf>
    <xf numFmtId="173" fontId="30" fillId="0" borderId="73" xfId="48" applyNumberFormat="1" applyFont="1" applyBorder="1" applyAlignment="1">
      <alignment horizontal="center"/>
      <protection/>
    </xf>
    <xf numFmtId="173" fontId="16" fillId="0" borderId="73" xfId="48" applyNumberFormat="1" applyFont="1" applyBorder="1" applyAlignment="1">
      <alignment horizontal="center"/>
      <protection/>
    </xf>
    <xf numFmtId="173" fontId="16" fillId="0" borderId="73" xfId="48" applyNumberFormat="1" applyBorder="1" applyAlignment="1">
      <alignment horizontal="right"/>
      <protection/>
    </xf>
    <xf numFmtId="0" fontId="10" fillId="0" borderId="0" xfId="0" applyFont="1" applyAlignment="1">
      <alignment horizontal="center" vertical="center" wrapText="1"/>
    </xf>
    <xf numFmtId="0" fontId="30" fillId="0" borderId="74" xfId="48" applyFont="1" applyBorder="1" applyAlignment="1">
      <alignment horizontal="center"/>
      <protection/>
    </xf>
    <xf numFmtId="0" fontId="22" fillId="0" borderId="74" xfId="48" applyFont="1" applyBorder="1" applyAlignment="1">
      <alignment horizontal="center"/>
      <protection/>
    </xf>
    <xf numFmtId="0" fontId="16" fillId="0" borderId="74" xfId="48" applyFont="1" applyBorder="1" applyAlignment="1">
      <alignment horizontal="center"/>
      <protection/>
    </xf>
    <xf numFmtId="0" fontId="9" fillId="0" borderId="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49" fontId="22" fillId="37" borderId="52" xfId="57" applyNumberFormat="1" applyFont="1" applyFill="1" applyBorder="1" applyProtection="1">
      <alignment/>
      <protection locked="0"/>
    </xf>
    <xf numFmtId="1" fontId="16" fillId="37" borderId="33" xfId="57" applyNumberFormat="1" applyFont="1" applyFill="1" applyBorder="1" applyAlignment="1" applyProtection="1">
      <alignment horizontal="center"/>
      <protection locked="0"/>
    </xf>
    <xf numFmtId="174" fontId="16" fillId="37" borderId="52" xfId="57" applyNumberFormat="1" applyFont="1" applyFill="1" applyBorder="1" applyAlignment="1" applyProtection="1">
      <alignment horizontal="center"/>
      <protection locked="0"/>
    </xf>
    <xf numFmtId="174" fontId="22" fillId="37" borderId="34" xfId="57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3" fillId="0" borderId="29" xfId="0" applyFont="1" applyBorder="1" applyAlignment="1">
      <alignment horizontal="center" vertical="center" wrapText="1" shrinkToFit="1"/>
    </xf>
    <xf numFmtId="0" fontId="73" fillId="0" borderId="29" xfId="0" applyFont="1" applyBorder="1" applyAlignment="1">
      <alignment horizontal="left" vertical="center" wrapText="1" shrinkToFit="1"/>
    </xf>
    <xf numFmtId="0" fontId="73" fillId="0" borderId="29" xfId="0" applyFont="1" applyBorder="1" applyAlignment="1">
      <alignment horizontal="center" vertical="center"/>
    </xf>
    <xf numFmtId="0" fontId="73" fillId="0" borderId="29" xfId="0" applyFont="1" applyBorder="1" applyAlignment="1">
      <alignment horizontal="left" vertical="center"/>
    </xf>
    <xf numFmtId="0" fontId="16" fillId="0" borderId="75" xfId="48" applyBorder="1" applyAlignment="1">
      <alignment horizontal="center"/>
      <protection/>
    </xf>
    <xf numFmtId="0" fontId="16" fillId="0" borderId="76" xfId="48" applyBorder="1" applyAlignment="1">
      <alignment horizontal="justify"/>
      <protection/>
    </xf>
    <xf numFmtId="0" fontId="29" fillId="0" borderId="76" xfId="48" applyFont="1" applyBorder="1" applyAlignment="1">
      <alignment horizontal="justify" vertical="center" wrapText="1"/>
      <protection/>
    </xf>
    <xf numFmtId="0" fontId="16" fillId="0" borderId="76" xfId="48" applyFont="1" applyBorder="1" applyAlignment="1">
      <alignment horizontal="center"/>
      <protection/>
    </xf>
    <xf numFmtId="0" fontId="16" fillId="0" borderId="76" xfId="48" applyBorder="1" applyAlignment="1">
      <alignment horizontal="center"/>
      <protection/>
    </xf>
    <xf numFmtId="1" fontId="16" fillId="0" borderId="76" xfId="61" applyNumberFormat="1" applyFont="1" applyBorder="1" applyAlignment="1">
      <alignment horizontal="center"/>
    </xf>
    <xf numFmtId="3" fontId="16" fillId="0" borderId="76" xfId="61" applyNumberFormat="1" applyFont="1" applyBorder="1" applyAlignment="1">
      <alignment horizontal="center"/>
    </xf>
    <xf numFmtId="176" fontId="16" fillId="0" borderId="76" xfId="61" applyNumberFormat="1" applyFont="1" applyBorder="1" applyAlignment="1">
      <alignment horizontal="right"/>
    </xf>
    <xf numFmtId="0" fontId="16" fillId="38" borderId="29" xfId="48" applyFill="1" applyBorder="1" applyAlignment="1">
      <alignment horizontal="center" vertical="center" wrapText="1"/>
      <protection/>
    </xf>
    <xf numFmtId="0" fontId="16" fillId="38" borderId="29" xfId="48" applyFill="1" applyBorder="1" applyAlignment="1">
      <alignment horizontal="center" vertical="center"/>
      <protection/>
    </xf>
    <xf numFmtId="3" fontId="16" fillId="38" borderId="29" xfId="61" applyNumberFormat="1" applyFill="1" applyBorder="1" applyAlignment="1">
      <alignment horizontal="center" vertical="center"/>
    </xf>
    <xf numFmtId="49" fontId="31" fillId="0" borderId="29" xfId="48" applyNumberFormat="1" applyFont="1" applyBorder="1" applyAlignment="1">
      <alignment horizontal="center" vertical="center" wrapText="1"/>
      <protection/>
    </xf>
    <xf numFmtId="0" fontId="30" fillId="37" borderId="29" xfId="48" applyFont="1" applyFill="1" applyBorder="1" applyAlignment="1">
      <alignment horizontal="center" vertical="center" wrapText="1"/>
      <protection/>
    </xf>
    <xf numFmtId="0" fontId="31" fillId="37" borderId="29" xfId="48" applyFont="1" applyFill="1" applyBorder="1" applyAlignment="1">
      <alignment horizontal="center" vertical="center" wrapText="1"/>
      <protection/>
    </xf>
    <xf numFmtId="1" fontId="31" fillId="37" borderId="29" xfId="61" applyNumberFormat="1" applyFont="1" applyFill="1" applyBorder="1" applyAlignment="1">
      <alignment horizontal="center" vertical="center" wrapText="1"/>
    </xf>
    <xf numFmtId="3" fontId="31" fillId="37" borderId="29" xfId="61" applyNumberFormat="1" applyFont="1" applyFill="1" applyBorder="1" applyAlignment="1">
      <alignment horizontal="center" vertical="center" wrapText="1"/>
    </xf>
    <xf numFmtId="7" fontId="31" fillId="37" borderId="29" xfId="61" applyNumberFormat="1" applyFont="1" applyFill="1" applyBorder="1" applyAlignment="1">
      <alignment horizontal="right" vertical="center" wrapText="1"/>
    </xf>
    <xf numFmtId="173" fontId="10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7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73" fontId="1" fillId="0" borderId="24" xfId="0" applyNumberFormat="1" applyFont="1" applyFill="1" applyBorder="1" applyAlignment="1" applyProtection="1">
      <alignment vertical="center"/>
      <protection/>
    </xf>
    <xf numFmtId="0" fontId="10" fillId="0" borderId="7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73" fontId="9" fillId="0" borderId="45" xfId="0" applyNumberFormat="1" applyFont="1" applyFill="1" applyBorder="1" applyAlignment="1" applyProtection="1">
      <alignment vertical="center"/>
      <protection/>
    </xf>
    <xf numFmtId="0" fontId="9" fillId="0" borderId="24" xfId="0" applyFont="1" applyBorder="1" applyAlignment="1">
      <alignment vertical="center"/>
    </xf>
    <xf numFmtId="173" fontId="9" fillId="0" borderId="64" xfId="0" applyNumberFormat="1" applyFont="1" applyFill="1" applyBorder="1" applyAlignment="1" applyProtection="1">
      <alignment horizontal="right" vertical="center"/>
      <protection/>
    </xf>
    <xf numFmtId="49" fontId="4" fillId="33" borderId="78" xfId="0" applyNumberFormat="1" applyFont="1" applyFill="1" applyBorder="1" applyAlignment="1" applyProtection="1">
      <alignment horizontal="left" vertical="center"/>
      <protection/>
    </xf>
    <xf numFmtId="49" fontId="7" fillId="33" borderId="79" xfId="0" applyNumberFormat="1" applyFont="1" applyFill="1" applyBorder="1" applyAlignment="1" applyProtection="1">
      <alignment horizontal="right" vertical="center"/>
      <protection/>
    </xf>
    <xf numFmtId="49" fontId="5" fillId="0" borderId="25" xfId="0" applyNumberFormat="1" applyFont="1" applyFill="1" applyBorder="1" applyAlignment="1" applyProtection="1">
      <alignment horizontal="left" vertical="center"/>
      <protection/>
    </xf>
    <xf numFmtId="49" fontId="5" fillId="0" borderId="80" xfId="0" applyNumberFormat="1" applyFont="1" applyFill="1" applyBorder="1" applyAlignment="1" applyProtection="1">
      <alignment horizontal="right" vertical="center"/>
      <protection/>
    </xf>
    <xf numFmtId="49" fontId="4" fillId="33" borderId="25" xfId="0" applyNumberFormat="1" applyFont="1" applyFill="1" applyBorder="1" applyAlignment="1" applyProtection="1">
      <alignment horizontal="left" vertical="center"/>
      <protection/>
    </xf>
    <xf numFmtId="49" fontId="7" fillId="33" borderId="80" xfId="0" applyNumberFormat="1" applyFont="1" applyFill="1" applyBorder="1" applyAlignment="1" applyProtection="1">
      <alignment horizontal="right" vertical="center"/>
      <protection/>
    </xf>
    <xf numFmtId="49" fontId="5" fillId="0" borderId="81" xfId="0" applyNumberFormat="1" applyFont="1" applyFill="1" applyBorder="1" applyAlignment="1" applyProtection="1">
      <alignment horizontal="left" vertical="center"/>
      <protection/>
    </xf>
    <xf numFmtId="49" fontId="5" fillId="0" borderId="82" xfId="0" applyNumberFormat="1" applyFont="1" applyFill="1" applyBorder="1" applyAlignment="1" applyProtection="1">
      <alignment horizontal="right" vertical="center"/>
      <protection/>
    </xf>
    <xf numFmtId="0" fontId="1" fillId="0" borderId="83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84" xfId="0" applyNumberFormat="1" applyFont="1" applyFill="1" applyBorder="1" applyAlignment="1" applyProtection="1">
      <alignment vertical="center"/>
      <protection/>
    </xf>
    <xf numFmtId="49" fontId="6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85" xfId="0" applyFont="1" applyBorder="1" applyAlignment="1">
      <alignment vertical="center"/>
    </xf>
    <xf numFmtId="0" fontId="3" fillId="37" borderId="86" xfId="0" applyFont="1" applyFill="1" applyBorder="1" applyAlignment="1">
      <alignment vertical="center"/>
    </xf>
    <xf numFmtId="0" fontId="3" fillId="37" borderId="26" xfId="0" applyFont="1" applyFill="1" applyBorder="1" applyAlignment="1">
      <alignment vertical="center"/>
    </xf>
    <xf numFmtId="4" fontId="3" fillId="37" borderId="26" xfId="0" applyNumberFormat="1" applyFont="1" applyFill="1" applyBorder="1" applyAlignment="1">
      <alignment vertical="center"/>
    </xf>
    <xf numFmtId="0" fontId="3" fillId="37" borderId="87" xfId="0" applyFont="1" applyFill="1" applyBorder="1" applyAlignment="1">
      <alignment vertical="center"/>
    </xf>
    <xf numFmtId="49" fontId="1" fillId="0" borderId="64" xfId="0" applyNumberFormat="1" applyFont="1" applyFill="1" applyBorder="1" applyAlignment="1" applyProtection="1">
      <alignment horizontal="left" vertical="center"/>
      <protection/>
    </xf>
    <xf numFmtId="0" fontId="1" fillId="0" borderId="64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6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68" xfId="0" applyNumberFormat="1" applyFont="1" applyFill="1" applyBorder="1" applyAlignment="1" applyProtection="1">
      <alignment horizontal="left" vertical="center"/>
      <protection/>
    </xf>
    <xf numFmtId="0" fontId="3" fillId="0" borderId="12" xfId="49" applyNumberFormat="1" applyFont="1" applyFill="1" applyBorder="1" applyAlignment="1" applyProtection="1">
      <alignment horizontal="left" vertical="center" wrapText="1"/>
      <protection/>
    </xf>
    <xf numFmtId="0" fontId="3" fillId="0" borderId="12" xfId="49" applyNumberFormat="1" applyFont="1" applyFill="1" applyBorder="1" applyAlignment="1" applyProtection="1">
      <alignment horizontal="lef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6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64" xfId="0" applyNumberFormat="1" applyFont="1" applyFill="1" applyBorder="1" applyAlignment="1" applyProtection="1">
      <alignment horizontal="left" vertical="center" wrapText="1"/>
      <protection/>
    </xf>
    <xf numFmtId="0" fontId="1" fillId="0" borderId="88" xfId="0" applyNumberFormat="1" applyFont="1" applyFill="1" applyBorder="1" applyAlignment="1" applyProtection="1">
      <alignment horizontal="left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4" fontId="10" fillId="0" borderId="77" xfId="0" applyNumberFormat="1" applyFont="1" applyFill="1" applyBorder="1" applyAlignment="1" applyProtection="1">
      <alignment horizontal="center" vertical="center"/>
      <protection/>
    </xf>
    <xf numFmtId="4" fontId="10" fillId="0" borderId="30" xfId="0" applyNumberFormat="1" applyFont="1" applyFill="1" applyBorder="1" applyAlignment="1" applyProtection="1">
      <alignment horizontal="center" vertical="center"/>
      <protection/>
    </xf>
    <xf numFmtId="4" fontId="10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77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Font="1" applyBorder="1" applyAlignment="1">
      <alignment horizontal="center" vertical="center"/>
    </xf>
    <xf numFmtId="49" fontId="9" fillId="34" borderId="77" xfId="0" applyNumberFormat="1" applyFont="1" applyFill="1" applyBorder="1" applyAlignment="1" applyProtection="1">
      <alignment horizontal="left" vertical="center"/>
      <protection/>
    </xf>
    <xf numFmtId="0" fontId="9" fillId="34" borderId="30" xfId="0" applyNumberFormat="1" applyFont="1" applyFill="1" applyBorder="1" applyAlignment="1" applyProtection="1">
      <alignment horizontal="left" vertical="center"/>
      <protection/>
    </xf>
    <xf numFmtId="0" fontId="9" fillId="0" borderId="7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80" xfId="0" applyNumberFormat="1" applyFont="1" applyFill="1" applyBorder="1" applyAlignment="1" applyProtection="1">
      <alignment horizontal="left" vertical="center"/>
      <protection/>
    </xf>
    <xf numFmtId="49" fontId="10" fillId="0" borderId="78" xfId="0" applyNumberFormat="1" applyFont="1" applyFill="1" applyBorder="1" applyAlignment="1" applyProtection="1">
      <alignment horizontal="left" vertical="center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0" fontId="10" fillId="0" borderId="79" xfId="0" applyNumberFormat="1" applyFont="1" applyFill="1" applyBorder="1" applyAlignment="1" applyProtection="1">
      <alignment horizontal="left" vertical="center"/>
      <protection/>
    </xf>
    <xf numFmtId="49" fontId="10" fillId="0" borderId="48" xfId="0" applyNumberFormat="1" applyFont="1" applyFill="1" applyBorder="1" applyAlignment="1" applyProtection="1">
      <alignment horizontal="left" vertical="center"/>
      <protection/>
    </xf>
    <xf numFmtId="0" fontId="10" fillId="0" borderId="89" xfId="0" applyNumberFormat="1" applyFont="1" applyFill="1" applyBorder="1" applyAlignment="1" applyProtection="1">
      <alignment horizontal="left" vertical="center"/>
      <protection/>
    </xf>
    <xf numFmtId="0" fontId="10" fillId="0" borderId="90" xfId="0" applyNumberFormat="1" applyFont="1" applyFill="1" applyBorder="1" applyAlignment="1" applyProtection="1">
      <alignment horizontal="left" vertical="center"/>
      <protection/>
    </xf>
    <xf numFmtId="49" fontId="3" fillId="0" borderId="91" xfId="0" applyNumberFormat="1" applyFont="1" applyFill="1" applyBorder="1" applyAlignment="1" applyProtection="1">
      <alignment horizontal="center" vertical="center"/>
      <protection/>
    </xf>
    <xf numFmtId="0" fontId="3" fillId="0" borderId="92" xfId="0" applyNumberFormat="1" applyFont="1" applyFill="1" applyBorder="1" applyAlignment="1" applyProtection="1">
      <alignment horizontal="center" vertical="center"/>
      <protection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80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52" fillId="37" borderId="77" xfId="0" applyFont="1" applyFill="1" applyBorder="1" applyAlignment="1">
      <alignment horizontal="center"/>
    </xf>
    <xf numFmtId="0" fontId="52" fillId="37" borderId="28" xfId="0" applyFont="1" applyFill="1" applyBorder="1" applyAlignment="1">
      <alignment horizontal="center"/>
    </xf>
    <xf numFmtId="0" fontId="71" fillId="0" borderId="24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49" fontId="12" fillId="38" borderId="49" xfId="0" applyNumberFormat="1" applyFont="1" applyFill="1" applyBorder="1" applyAlignment="1">
      <alignment horizontal="left" vertical="center" wrapText="1"/>
    </xf>
    <xf numFmtId="0" fontId="0" fillId="38" borderId="49" xfId="0" applyNumberFormat="1" applyFont="1" applyFill="1" applyBorder="1" applyAlignment="1">
      <alignment horizontal="left" vertical="center" wrapText="1"/>
    </xf>
    <xf numFmtId="49" fontId="12" fillId="38" borderId="94" xfId="0" applyNumberFormat="1" applyFont="1" applyFill="1" applyBorder="1" applyAlignment="1">
      <alignment horizontal="left" vertical="center" wrapText="1"/>
    </xf>
    <xf numFmtId="49" fontId="0" fillId="38" borderId="94" xfId="0" applyNumberFormat="1" applyFont="1" applyFill="1" applyBorder="1" applyAlignment="1">
      <alignment horizontal="left" vertical="center" wrapText="1"/>
    </xf>
    <xf numFmtId="49" fontId="0" fillId="38" borderId="95" xfId="0" applyNumberFormat="1" applyFont="1" applyFill="1" applyBorder="1" applyAlignment="1">
      <alignment horizontal="left" vertical="center" wrapText="1"/>
    </xf>
    <xf numFmtId="49" fontId="12" fillId="38" borderId="96" xfId="0" applyNumberFormat="1" applyFont="1" applyFill="1" applyBorder="1" applyAlignment="1">
      <alignment horizontal="left" vertical="center" wrapText="1"/>
    </xf>
    <xf numFmtId="49" fontId="0" fillId="38" borderId="97" xfId="0" applyNumberFormat="1" applyFont="1" applyFill="1" applyBorder="1" applyAlignment="1">
      <alignment horizontal="left" vertical="center" wrapText="1"/>
    </xf>
    <xf numFmtId="49" fontId="0" fillId="38" borderId="98" xfId="0" applyNumberFormat="1" applyFont="1" applyFill="1" applyBorder="1" applyAlignment="1">
      <alignment horizontal="left" vertical="center" wrapText="1"/>
    </xf>
    <xf numFmtId="49" fontId="12" fillId="38" borderId="47" xfId="0" applyNumberFormat="1" applyFont="1" applyFill="1" applyBorder="1" applyAlignment="1">
      <alignment horizontal="left" vertical="center" wrapText="1"/>
    </xf>
    <xf numFmtId="0" fontId="0" fillId="38" borderId="47" xfId="0" applyNumberFormat="1" applyFont="1" applyFill="1" applyBorder="1" applyAlignment="1">
      <alignment horizontal="left" vertical="center" wrapText="1"/>
    </xf>
    <xf numFmtId="49" fontId="12" fillId="38" borderId="43" xfId="0" applyNumberFormat="1" applyFont="1" applyFill="1" applyBorder="1" applyAlignment="1">
      <alignment horizontal="left" vertical="center" wrapText="1"/>
    </xf>
    <xf numFmtId="0" fontId="0" fillId="38" borderId="43" xfId="0" applyNumberFormat="1" applyFont="1" applyFill="1" applyBorder="1" applyAlignment="1">
      <alignment horizontal="left" vertical="center" wrapText="1"/>
    </xf>
    <xf numFmtId="49" fontId="74" fillId="38" borderId="33" xfId="0" applyNumberFormat="1" applyFont="1" applyFill="1" applyBorder="1" applyAlignment="1">
      <alignment horizontal="left" vertical="center" wrapText="1"/>
    </xf>
    <xf numFmtId="49" fontId="11" fillId="38" borderId="52" xfId="0" applyNumberFormat="1" applyFont="1" applyFill="1" applyBorder="1" applyAlignment="1">
      <alignment horizontal="left" vertical="center" wrapText="1"/>
    </xf>
    <xf numFmtId="49" fontId="12" fillId="0" borderId="96" xfId="0" applyNumberFormat="1" applyFont="1" applyFill="1" applyBorder="1" applyAlignment="1">
      <alignment horizontal="left" vertical="center" wrapText="1"/>
    </xf>
    <xf numFmtId="49" fontId="0" fillId="0" borderId="97" xfId="0" applyNumberFormat="1" applyFont="1" applyFill="1" applyBorder="1" applyAlignment="1">
      <alignment horizontal="left" vertical="center" wrapText="1"/>
    </xf>
    <xf numFmtId="49" fontId="0" fillId="0" borderId="98" xfId="0" applyNumberFormat="1" applyFont="1" applyFill="1" applyBorder="1" applyAlignment="1">
      <alignment horizontal="left" vertical="center" wrapText="1"/>
    </xf>
    <xf numFmtId="0" fontId="0" fillId="38" borderId="99" xfId="0" applyNumberFormat="1" applyFont="1" applyFill="1" applyBorder="1" applyAlignment="1">
      <alignment horizontal="center" vertical="center" wrapText="1"/>
    </xf>
    <xf numFmtId="0" fontId="0" fillId="38" borderId="100" xfId="0" applyNumberFormat="1" applyFont="1" applyFill="1" applyBorder="1" applyAlignment="1">
      <alignment horizontal="center" vertical="center" wrapText="1"/>
    </xf>
    <xf numFmtId="49" fontId="11" fillId="38" borderId="33" xfId="0" applyNumberFormat="1" applyFont="1" applyFill="1" applyBorder="1" applyAlignment="1">
      <alignment horizontal="left" vertical="center" wrapText="1"/>
    </xf>
    <xf numFmtId="49" fontId="12" fillId="0" borderId="94" xfId="0" applyNumberFormat="1" applyFont="1" applyFill="1" applyBorder="1" applyAlignment="1">
      <alignment horizontal="left" vertical="center" wrapText="1"/>
    </xf>
    <xf numFmtId="49" fontId="0" fillId="0" borderId="94" xfId="0" applyNumberFormat="1" applyFont="1" applyFill="1" applyBorder="1" applyAlignment="1">
      <alignment horizontal="left" vertical="center" wrapText="1"/>
    </xf>
    <xf numFmtId="49" fontId="0" fillId="0" borderId="95" xfId="0" applyNumberFormat="1" applyFont="1" applyFill="1" applyBorder="1" applyAlignment="1">
      <alignment horizontal="left" vertical="center" wrapText="1"/>
    </xf>
    <xf numFmtId="0" fontId="15" fillId="38" borderId="101" xfId="0" applyNumberFormat="1" applyFont="1" applyFill="1" applyBorder="1" applyAlignment="1">
      <alignment horizontal="center" vertical="center" textRotation="90" wrapText="1"/>
    </xf>
    <xf numFmtId="0" fontId="15" fillId="38" borderId="51" xfId="0" applyNumberFormat="1" applyFont="1" applyFill="1" applyBorder="1" applyAlignment="1">
      <alignment horizontal="center" vertical="center" textRotation="90" wrapText="1"/>
    </xf>
    <xf numFmtId="49" fontId="12" fillId="0" borderId="97" xfId="0" applyNumberFormat="1" applyFont="1" applyFill="1" applyBorder="1" applyAlignment="1">
      <alignment horizontal="left" vertical="center" wrapText="1"/>
    </xf>
    <xf numFmtId="49" fontId="32" fillId="38" borderId="0" xfId="0" applyNumberFormat="1" applyFont="1" applyFill="1" applyBorder="1" applyAlignment="1">
      <alignment horizontal="right" vertical="center"/>
    </xf>
    <xf numFmtId="49" fontId="33" fillId="38" borderId="0" xfId="0" applyNumberFormat="1" applyFont="1" applyFill="1" applyBorder="1" applyAlignment="1">
      <alignment horizontal="right" vertical="center"/>
    </xf>
    <xf numFmtId="0" fontId="33" fillId="38" borderId="0" xfId="0" applyNumberFormat="1" applyFont="1" applyFill="1" applyBorder="1" applyAlignment="1">
      <alignment horizontal="right" vertical="center"/>
    </xf>
    <xf numFmtId="49" fontId="32" fillId="38" borderId="0" xfId="0" applyNumberFormat="1" applyFont="1" applyFill="1" applyBorder="1" applyAlignment="1">
      <alignment horizontal="left" vertical="center"/>
    </xf>
    <xf numFmtId="0" fontId="33" fillId="38" borderId="0" xfId="0" applyNumberFormat="1" applyFont="1" applyFill="1" applyBorder="1" applyAlignment="1">
      <alignment horizontal="left" vertical="center"/>
    </xf>
    <xf numFmtId="49" fontId="0" fillId="38" borderId="102" xfId="0" applyNumberFormat="1" applyFont="1" applyFill="1" applyBorder="1" applyAlignment="1">
      <alignment horizontal="center" vertical="center" wrapText="1"/>
    </xf>
    <xf numFmtId="0" fontId="0" fillId="38" borderId="103" xfId="0" applyNumberFormat="1" applyFont="1" applyFill="1" applyBorder="1" applyAlignment="1">
      <alignment horizontal="center" vertical="center" wrapText="1"/>
    </xf>
    <xf numFmtId="0" fontId="0" fillId="38" borderId="104" xfId="0" applyNumberFormat="1" applyFont="1" applyFill="1" applyBorder="1" applyAlignment="1">
      <alignment horizontal="center" vertical="center" wrapText="1"/>
    </xf>
    <xf numFmtId="49" fontId="0" fillId="38" borderId="105" xfId="0" applyNumberFormat="1" applyFont="1" applyFill="1" applyBorder="1" applyAlignment="1">
      <alignment horizontal="center" vertical="center" wrapText="1"/>
    </xf>
    <xf numFmtId="49" fontId="0" fillId="38" borderId="106" xfId="0" applyNumberFormat="1" applyFont="1" applyFill="1" applyBorder="1" applyAlignment="1">
      <alignment horizontal="center" vertical="center" wrapText="1"/>
    </xf>
    <xf numFmtId="49" fontId="12" fillId="38" borderId="107" xfId="0" applyNumberFormat="1" applyFont="1" applyFill="1" applyBorder="1" applyAlignment="1">
      <alignment horizontal="center" vertical="center"/>
    </xf>
    <xf numFmtId="0" fontId="0" fillId="38" borderId="108" xfId="0" applyNumberFormat="1" applyFont="1" applyFill="1" applyBorder="1" applyAlignment="1">
      <alignment horizontal="center" vertical="center"/>
    </xf>
    <xf numFmtId="0" fontId="0" fillId="38" borderId="109" xfId="0" applyNumberFormat="1" applyFont="1" applyFill="1" applyBorder="1" applyAlignment="1">
      <alignment horizontal="center" vertical="center"/>
    </xf>
    <xf numFmtId="0" fontId="0" fillId="38" borderId="110" xfId="0" applyNumberFormat="1" applyFont="1" applyFill="1" applyBorder="1" applyAlignment="1">
      <alignment horizontal="center" vertical="center"/>
    </xf>
    <xf numFmtId="0" fontId="0" fillId="38" borderId="111" xfId="0" applyNumberFormat="1" applyFont="1" applyFill="1" applyBorder="1" applyAlignment="1">
      <alignment horizontal="center" vertical="center"/>
    </xf>
    <xf numFmtId="0" fontId="0" fillId="38" borderId="112" xfId="0" applyNumberFormat="1" applyFont="1" applyFill="1" applyBorder="1" applyAlignment="1">
      <alignment horizontal="center" vertical="center"/>
    </xf>
    <xf numFmtId="0" fontId="0" fillId="38" borderId="113" xfId="0" applyNumberFormat="1" applyFont="1" applyFill="1" applyBorder="1" applyAlignment="1">
      <alignment horizontal="center" vertical="center"/>
    </xf>
    <xf numFmtId="0" fontId="0" fillId="38" borderId="114" xfId="0" applyNumberFormat="1" applyFont="1" applyFill="1" applyBorder="1" applyAlignment="1">
      <alignment horizontal="center" vertical="center"/>
    </xf>
    <xf numFmtId="0" fontId="0" fillId="38" borderId="115" xfId="0" applyNumberFormat="1" applyFont="1" applyFill="1" applyBorder="1" applyAlignment="1">
      <alignment horizontal="center" vertical="center"/>
    </xf>
    <xf numFmtId="49" fontId="0" fillId="38" borderId="116" xfId="0" applyNumberFormat="1" applyFont="1" applyFill="1" applyBorder="1" applyAlignment="1">
      <alignment horizontal="center" vertical="center" wrapText="1"/>
    </xf>
    <xf numFmtId="0" fontId="0" fillId="38" borderId="117" xfId="0" applyNumberFormat="1" applyFont="1" applyFill="1" applyBorder="1" applyAlignment="1">
      <alignment horizontal="center" vertical="center" wrapText="1"/>
    </xf>
    <xf numFmtId="0" fontId="0" fillId="38" borderId="118" xfId="0" applyNumberFormat="1" applyFont="1" applyFill="1" applyBorder="1" applyAlignment="1">
      <alignment horizontal="center" vertical="center" wrapText="1"/>
    </xf>
    <xf numFmtId="49" fontId="0" fillId="38" borderId="116" xfId="0" applyNumberFormat="1" applyFont="1" applyFill="1" applyBorder="1" applyAlignment="1">
      <alignment horizontal="center" vertical="center"/>
    </xf>
    <xf numFmtId="0" fontId="0" fillId="38" borderId="117" xfId="0" applyNumberFormat="1" applyFont="1" applyFill="1" applyBorder="1" applyAlignment="1">
      <alignment horizontal="center" vertical="center"/>
    </xf>
    <xf numFmtId="0" fontId="0" fillId="38" borderId="118" xfId="0" applyNumberFormat="1" applyFont="1" applyFill="1" applyBorder="1" applyAlignment="1">
      <alignment horizontal="center" vertical="center"/>
    </xf>
    <xf numFmtId="49" fontId="12" fillId="38" borderId="101" xfId="0" applyNumberFormat="1" applyFont="1" applyFill="1" applyBorder="1" applyAlignment="1">
      <alignment horizontal="center" vertical="center" wrapText="1"/>
    </xf>
    <xf numFmtId="49" fontId="0" fillId="38" borderId="51" xfId="0" applyNumberFormat="1" applyFont="1" applyFill="1" applyBorder="1" applyAlignment="1">
      <alignment horizontal="center" vertical="center"/>
    </xf>
    <xf numFmtId="49" fontId="0" fillId="38" borderId="49" xfId="0" applyNumberFormat="1" applyFont="1" applyFill="1" applyBorder="1" applyAlignment="1">
      <alignment horizontal="center" vertical="center"/>
    </xf>
    <xf numFmtId="49" fontId="12" fillId="38" borderId="51" xfId="0" applyNumberFormat="1" applyFont="1" applyFill="1" applyBorder="1" applyAlignment="1">
      <alignment horizontal="center" vertical="center" wrapText="1"/>
    </xf>
    <xf numFmtId="49" fontId="12" fillId="38" borderId="49" xfId="0" applyNumberFormat="1" applyFont="1" applyFill="1" applyBorder="1" applyAlignment="1">
      <alignment horizontal="center" vertical="center" wrapText="1"/>
    </xf>
    <xf numFmtId="49" fontId="12" fillId="38" borderId="119" xfId="0" applyNumberFormat="1" applyFont="1" applyFill="1" applyBorder="1" applyAlignment="1">
      <alignment horizontal="center" vertical="center"/>
    </xf>
    <xf numFmtId="49" fontId="0" fillId="38" borderId="79" xfId="0" applyNumberFormat="1" applyFont="1" applyFill="1" applyBorder="1" applyAlignment="1">
      <alignment horizontal="center" vertical="center"/>
    </xf>
    <xf numFmtId="49" fontId="0" fillId="38" borderId="120" xfId="0" applyNumberFormat="1" applyFont="1" applyFill="1" applyBorder="1" applyAlignment="1">
      <alignment horizontal="center" vertical="center"/>
    </xf>
    <xf numFmtId="49" fontId="0" fillId="38" borderId="121" xfId="0" applyNumberFormat="1" applyFont="1" applyFill="1" applyBorder="1" applyAlignment="1">
      <alignment horizontal="center" vertical="center"/>
    </xf>
    <xf numFmtId="49" fontId="0" fillId="38" borderId="97" xfId="0" applyNumberFormat="1" applyFill="1" applyBorder="1" applyAlignment="1">
      <alignment horizontal="left" vertical="center" wrapText="1"/>
    </xf>
    <xf numFmtId="49" fontId="0" fillId="38" borderId="98" xfId="0" applyNumberFormat="1" applyFill="1" applyBorder="1" applyAlignment="1">
      <alignment horizontal="left" vertical="center" wrapText="1"/>
    </xf>
    <xf numFmtId="49" fontId="12" fillId="38" borderId="97" xfId="0" applyNumberFormat="1" applyFont="1" applyFill="1" applyBorder="1" applyAlignment="1">
      <alignment horizontal="left" vertical="center" wrapText="1"/>
    </xf>
    <xf numFmtId="49" fontId="0" fillId="38" borderId="119" xfId="0" applyNumberFormat="1" applyFont="1" applyFill="1" applyBorder="1" applyAlignment="1">
      <alignment horizontal="center" vertical="center"/>
    </xf>
    <xf numFmtId="49" fontId="11" fillId="38" borderId="0" xfId="0" applyNumberFormat="1" applyFont="1" applyFill="1" applyBorder="1" applyAlignment="1">
      <alignment horizontal="right" vertical="center"/>
    </xf>
    <xf numFmtId="49" fontId="21" fillId="38" borderId="0" xfId="0" applyNumberFormat="1" applyFont="1" applyFill="1" applyBorder="1" applyAlignment="1">
      <alignment horizontal="right" vertical="center"/>
    </xf>
    <xf numFmtId="0" fontId="21" fillId="38" borderId="0" xfId="0" applyNumberFormat="1" applyFont="1" applyFill="1" applyBorder="1" applyAlignment="1">
      <alignment horizontal="right" vertical="center"/>
    </xf>
    <xf numFmtId="49" fontId="11" fillId="38" borderId="0" xfId="0" applyNumberFormat="1" applyFont="1" applyFill="1" applyBorder="1" applyAlignment="1">
      <alignment horizontal="left" vertical="center"/>
    </xf>
    <xf numFmtId="0" fontId="21" fillId="38" borderId="0" xfId="0" applyNumberFormat="1" applyFont="1" applyFill="1" applyBorder="1" applyAlignment="1">
      <alignment horizontal="left" vertical="center"/>
    </xf>
    <xf numFmtId="0" fontId="15" fillId="38" borderId="49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32" fillId="38" borderId="122" xfId="0" applyNumberFormat="1" applyFont="1" applyFill="1" applyBorder="1" applyAlignment="1">
      <alignment horizontal="center" vertical="center"/>
    </xf>
    <xf numFmtId="49" fontId="32" fillId="38" borderId="123" xfId="0" applyNumberFormat="1" applyFont="1" applyFill="1" applyBorder="1" applyAlignment="1">
      <alignment horizontal="center" vertical="center"/>
    </xf>
    <xf numFmtId="0" fontId="32" fillId="38" borderId="124" xfId="0" applyNumberFormat="1" applyFont="1" applyFill="1" applyBorder="1" applyAlignment="1">
      <alignment horizontal="center" vertical="center"/>
    </xf>
    <xf numFmtId="0" fontId="32" fillId="38" borderId="125" xfId="0" applyNumberFormat="1" applyFont="1" applyFill="1" applyBorder="1" applyAlignment="1">
      <alignment horizontal="center" vertical="center"/>
    </xf>
    <xf numFmtId="0" fontId="32" fillId="38" borderId="126" xfId="0" applyNumberFormat="1" applyFont="1" applyFill="1" applyBorder="1" applyAlignment="1">
      <alignment horizontal="center" vertical="center"/>
    </xf>
    <xf numFmtId="171" fontId="32" fillId="38" borderId="3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Hyperlink" xfId="36"/>
    <cellStyle name="Chybně" xfId="37"/>
    <cellStyle name="Kontrolní buňka" xfId="38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3" xfId="47"/>
    <cellStyle name="Normální 18" xfId="48"/>
    <cellStyle name="Normální 2" xfId="49"/>
    <cellStyle name="normální 2 2 2" xfId="50"/>
    <cellStyle name="normální 2 3" xfId="51"/>
    <cellStyle name="normální 20" xfId="52"/>
    <cellStyle name="Normální 3" xfId="53"/>
    <cellStyle name="normální 3 5" xfId="54"/>
    <cellStyle name="normální 49" xfId="55"/>
    <cellStyle name="Normální 63" xfId="56"/>
    <cellStyle name="normální_POL.XLS" xfId="57"/>
    <cellStyle name="Followed Hyperlink" xfId="58"/>
    <cellStyle name="Poznámka" xfId="59"/>
    <cellStyle name="Percent" xfId="60"/>
    <cellStyle name="Procenta 4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50" zoomScaleNormal="50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  <col min="10" max="10" width="14.140625" style="0" bestFit="1" customWidth="1"/>
  </cols>
  <sheetData>
    <row r="1" spans="1:9" ht="72.75" customHeight="1">
      <c r="A1" s="40"/>
      <c r="B1" s="34"/>
      <c r="C1" s="290" t="s">
        <v>202</v>
      </c>
      <c r="D1" s="291"/>
      <c r="E1" s="291"/>
      <c r="F1" s="291"/>
      <c r="G1" s="291"/>
      <c r="H1" s="291"/>
      <c r="I1" s="291"/>
    </row>
    <row r="2" spans="1:10" ht="12" customHeight="1">
      <c r="A2" s="292" t="s">
        <v>1</v>
      </c>
      <c r="B2" s="293"/>
      <c r="C2" s="298" t="s">
        <v>85</v>
      </c>
      <c r="D2" s="299"/>
      <c r="E2" s="296" t="s">
        <v>145</v>
      </c>
      <c r="F2" s="45" t="s">
        <v>152</v>
      </c>
      <c r="G2" s="45"/>
      <c r="H2" s="296" t="s">
        <v>212</v>
      </c>
      <c r="I2" s="297"/>
      <c r="J2" s="25"/>
    </row>
    <row r="3" spans="1:10" ht="12" customHeight="1">
      <c r="A3" s="294"/>
      <c r="B3" s="295"/>
      <c r="C3" s="300"/>
      <c r="D3" s="300"/>
      <c r="E3" s="295"/>
      <c r="F3" s="43"/>
      <c r="G3" s="43"/>
      <c r="H3" s="295"/>
      <c r="I3" s="289"/>
      <c r="J3" s="25"/>
    </row>
    <row r="4" spans="1:10" ht="12">
      <c r="A4" s="301" t="s">
        <v>2</v>
      </c>
      <c r="B4" s="295"/>
      <c r="C4" s="302"/>
      <c r="D4" s="295"/>
      <c r="E4" s="302" t="s">
        <v>146</v>
      </c>
      <c r="F4" s="302"/>
      <c r="G4" s="295"/>
      <c r="H4" s="302" t="s">
        <v>212</v>
      </c>
      <c r="I4" s="288"/>
      <c r="J4" s="25"/>
    </row>
    <row r="5" spans="1:10" ht="12">
      <c r="A5" s="294"/>
      <c r="B5" s="295"/>
      <c r="C5" s="295"/>
      <c r="D5" s="295"/>
      <c r="E5" s="295"/>
      <c r="F5" s="295"/>
      <c r="G5" s="295"/>
      <c r="H5" s="295"/>
      <c r="I5" s="289"/>
      <c r="J5" s="25"/>
    </row>
    <row r="6" spans="1:10" ht="12">
      <c r="A6" s="301" t="s">
        <v>3</v>
      </c>
      <c r="B6" s="295"/>
      <c r="C6" s="43" t="s">
        <v>86</v>
      </c>
      <c r="D6" s="44"/>
      <c r="E6" s="302" t="s">
        <v>147</v>
      </c>
      <c r="F6" s="303"/>
      <c r="G6" s="304"/>
      <c r="H6" s="302" t="s">
        <v>212</v>
      </c>
      <c r="I6" s="305"/>
      <c r="J6" s="25"/>
    </row>
    <row r="7" spans="1:10" ht="12">
      <c r="A7" s="294"/>
      <c r="B7" s="295"/>
      <c r="C7" s="44"/>
      <c r="D7" s="44"/>
      <c r="E7" s="295"/>
      <c r="F7" s="304"/>
      <c r="G7" s="304"/>
      <c r="H7" s="295"/>
      <c r="I7" s="289"/>
      <c r="J7" s="25"/>
    </row>
    <row r="8" spans="1:10" ht="12">
      <c r="A8" s="301" t="s">
        <v>133</v>
      </c>
      <c r="B8" s="295"/>
      <c r="C8" s="302"/>
      <c r="D8" s="295"/>
      <c r="E8" s="302" t="s">
        <v>134</v>
      </c>
      <c r="F8" s="302"/>
      <c r="G8" s="295"/>
      <c r="H8" s="306" t="s">
        <v>213</v>
      </c>
      <c r="I8" s="288"/>
      <c r="J8" s="25"/>
    </row>
    <row r="9" spans="1:10" ht="12">
      <c r="A9" s="294"/>
      <c r="B9" s="295"/>
      <c r="C9" s="295"/>
      <c r="D9" s="295"/>
      <c r="E9" s="295"/>
      <c r="F9" s="295"/>
      <c r="G9" s="295"/>
      <c r="H9" s="295"/>
      <c r="I9" s="289"/>
      <c r="J9" s="25"/>
    </row>
    <row r="10" spans="1:10" ht="12">
      <c r="A10" s="301" t="s">
        <v>4</v>
      </c>
      <c r="B10" s="295"/>
      <c r="C10" s="302"/>
      <c r="D10" s="295"/>
      <c r="E10" s="302" t="s">
        <v>148</v>
      </c>
      <c r="F10" s="309"/>
      <c r="G10" s="295"/>
      <c r="H10" s="306" t="s">
        <v>214</v>
      </c>
      <c r="I10" s="310"/>
      <c r="J10" s="25"/>
    </row>
    <row r="11" spans="1:10" ht="12">
      <c r="A11" s="307"/>
      <c r="B11" s="308"/>
      <c r="C11" s="308"/>
      <c r="D11" s="308"/>
      <c r="E11" s="308"/>
      <c r="F11" s="308"/>
      <c r="G11" s="308"/>
      <c r="H11" s="308"/>
      <c r="I11" s="311"/>
      <c r="J11" s="25"/>
    </row>
    <row r="12" spans="1:9" ht="23.25" customHeight="1">
      <c r="A12" s="312" t="s">
        <v>685</v>
      </c>
      <c r="B12" s="313"/>
      <c r="C12" s="313"/>
      <c r="D12" s="313"/>
      <c r="E12" s="313"/>
      <c r="F12" s="313"/>
      <c r="G12" s="313"/>
      <c r="H12" s="313"/>
      <c r="I12" s="313"/>
    </row>
    <row r="13" spans="1:10" ht="15" customHeight="1">
      <c r="A13" s="318" t="s">
        <v>0</v>
      </c>
      <c r="B13" s="319"/>
      <c r="C13" s="314"/>
      <c r="D13" s="315"/>
      <c r="E13" s="315"/>
      <c r="F13" s="315"/>
      <c r="G13" s="315"/>
      <c r="H13" s="316"/>
      <c r="I13" s="136">
        <f>'Stavební rozpočet'!J51</f>
        <v>0</v>
      </c>
      <c r="J13" s="64"/>
    </row>
    <row r="14" spans="1:10" ht="15" customHeight="1">
      <c r="A14" s="318" t="s">
        <v>290</v>
      </c>
      <c r="B14" s="319"/>
      <c r="C14" s="314"/>
      <c r="D14" s="315"/>
      <c r="E14" s="315"/>
      <c r="F14" s="315"/>
      <c r="G14" s="315"/>
      <c r="H14" s="316"/>
      <c r="I14" s="136">
        <f>VZT!F53</f>
        <v>0</v>
      </c>
      <c r="J14" s="64"/>
    </row>
    <row r="15" spans="1:10" ht="16.5" customHeight="1">
      <c r="A15" s="318" t="s">
        <v>291</v>
      </c>
      <c r="B15" s="319"/>
      <c r="C15" s="314"/>
      <c r="D15" s="315"/>
      <c r="E15" s="315"/>
      <c r="F15" s="315"/>
      <c r="G15" s="315"/>
      <c r="H15" s="316"/>
      <c r="I15" s="136">
        <f>'Rozvody plynů'!O50</f>
        <v>0</v>
      </c>
      <c r="J15" s="64"/>
    </row>
    <row r="16" spans="1:10" ht="15" customHeight="1">
      <c r="A16" s="66" t="s">
        <v>292</v>
      </c>
      <c r="B16" s="66"/>
      <c r="C16" s="317"/>
      <c r="D16" s="317"/>
      <c r="E16" s="317"/>
      <c r="F16" s="317"/>
      <c r="G16" s="317"/>
      <c r="H16" s="317"/>
      <c r="I16" s="136">
        <f>'Detekce plynů'!O24</f>
        <v>0</v>
      </c>
      <c r="J16" s="64"/>
    </row>
    <row r="17" spans="1:10" ht="15" customHeight="1">
      <c r="A17" s="323" t="s">
        <v>294</v>
      </c>
      <c r="B17" s="324"/>
      <c r="C17" s="317"/>
      <c r="D17" s="317"/>
      <c r="E17" s="317"/>
      <c r="F17" s="317"/>
      <c r="G17" s="317"/>
      <c r="H17" s="317"/>
      <c r="I17" s="136">
        <f>Silnoproud!F75</f>
        <v>0</v>
      </c>
      <c r="J17" s="64"/>
    </row>
    <row r="18" spans="1:10" ht="15" customHeight="1">
      <c r="A18" s="66" t="s">
        <v>293</v>
      </c>
      <c r="B18" s="67"/>
      <c r="C18" s="320"/>
      <c r="D18" s="320"/>
      <c r="E18" s="320"/>
      <c r="F18" s="320"/>
      <c r="G18" s="320"/>
      <c r="H18" s="320"/>
      <c r="I18" s="136">
        <f>Slaboproud!G4</f>
        <v>0</v>
      </c>
      <c r="J18" s="64"/>
    </row>
    <row r="19" spans="1:10" ht="15" customHeight="1">
      <c r="A19" s="67" t="s">
        <v>295</v>
      </c>
      <c r="B19" s="67"/>
      <c r="C19" s="320"/>
      <c r="D19" s="320"/>
      <c r="E19" s="320"/>
      <c r="F19" s="320"/>
      <c r="G19" s="320"/>
      <c r="H19" s="320"/>
      <c r="I19" s="136">
        <f>MaR!H4</f>
        <v>0</v>
      </c>
      <c r="J19" s="64"/>
    </row>
    <row r="20" spans="1:10" ht="10.5" customHeight="1">
      <c r="A20" s="269"/>
      <c r="B20" s="231"/>
      <c r="C20" s="263"/>
      <c r="D20" s="232"/>
      <c r="E20" s="232"/>
      <c r="F20" s="232"/>
      <c r="G20" s="232"/>
      <c r="H20" s="264"/>
      <c r="I20" s="270"/>
      <c r="J20" s="64"/>
    </row>
    <row r="21" spans="1:9" ht="15" customHeight="1">
      <c r="A21" s="323" t="s">
        <v>693</v>
      </c>
      <c r="B21" s="324"/>
      <c r="C21" s="263"/>
      <c r="D21" s="232"/>
      <c r="E21" s="232"/>
      <c r="F21" s="232"/>
      <c r="G21" s="232"/>
      <c r="H21" s="264"/>
      <c r="I21" s="268">
        <f>SUM(I22:I23)</f>
        <v>0</v>
      </c>
    </row>
    <row r="22" spans="1:10" ht="15" customHeight="1">
      <c r="A22" s="266" t="s">
        <v>206</v>
      </c>
      <c r="B22" s="267"/>
      <c r="C22" s="232"/>
      <c r="D22" s="232"/>
      <c r="E22" s="232"/>
      <c r="F22" s="232"/>
      <c r="G22" s="232"/>
      <c r="H22" s="232"/>
      <c r="I22" s="262">
        <v>0</v>
      </c>
      <c r="J22" s="64"/>
    </row>
    <row r="23" spans="1:10" ht="15" customHeight="1">
      <c r="A23" s="266" t="s">
        <v>684</v>
      </c>
      <c r="B23" s="267"/>
      <c r="C23" s="232"/>
      <c r="D23" s="232"/>
      <c r="E23" s="232"/>
      <c r="F23" s="232"/>
      <c r="G23" s="232"/>
      <c r="H23" s="232"/>
      <c r="I23" s="262">
        <v>0</v>
      </c>
      <c r="J23" s="64"/>
    </row>
    <row r="24" spans="1:9" ht="12">
      <c r="A24" s="34"/>
      <c r="B24" s="34"/>
      <c r="C24" s="34"/>
      <c r="G24" s="64"/>
      <c r="H24" s="64"/>
      <c r="I24" s="64"/>
    </row>
    <row r="25" spans="1:9" ht="15" customHeight="1">
      <c r="A25" s="321" t="s">
        <v>197</v>
      </c>
      <c r="B25" s="322"/>
      <c r="C25" s="39">
        <f>SUM('Stavební rozpočet'!AF4:AF47)</f>
        <v>0</v>
      </c>
      <c r="D25" s="38"/>
      <c r="E25" s="34"/>
      <c r="F25" s="34"/>
      <c r="G25" s="34"/>
      <c r="H25" s="34"/>
      <c r="I25" s="34"/>
    </row>
    <row r="26" spans="1:10" ht="15" customHeight="1">
      <c r="A26" s="321" t="s">
        <v>198</v>
      </c>
      <c r="B26" s="322"/>
      <c r="C26" s="39">
        <f>SUM('Stavební rozpočet'!AG4:AG47)</f>
        <v>0</v>
      </c>
      <c r="D26" s="321" t="s">
        <v>203</v>
      </c>
      <c r="E26" s="322"/>
      <c r="F26" s="39">
        <f>ROUND(C26*(15/100),2)</f>
        <v>0</v>
      </c>
      <c r="G26" s="321" t="s">
        <v>209</v>
      </c>
      <c r="H26" s="322"/>
      <c r="I26" s="39">
        <f>I13+I14+I15+I16+I17+I18+I19+I21</f>
        <v>0</v>
      </c>
      <c r="J26" s="265"/>
    </row>
    <row r="27" spans="1:10" ht="15" customHeight="1">
      <c r="A27" s="321" t="s">
        <v>199</v>
      </c>
      <c r="B27" s="322"/>
      <c r="C27" s="39">
        <f>I26</f>
        <v>0</v>
      </c>
      <c r="D27" s="321" t="s">
        <v>204</v>
      </c>
      <c r="E27" s="322"/>
      <c r="F27" s="39">
        <f>ROUND(C27*(21/100),2)</f>
        <v>0</v>
      </c>
      <c r="G27" s="321" t="s">
        <v>210</v>
      </c>
      <c r="H27" s="322"/>
      <c r="I27" s="39">
        <f>SUM(F26:F27)+I26</f>
        <v>0</v>
      </c>
      <c r="J27" s="25"/>
    </row>
    <row r="28" spans="1:9" ht="12">
      <c r="A28" s="35"/>
      <c r="B28" s="35"/>
      <c r="C28" s="35"/>
      <c r="D28" s="35"/>
      <c r="E28" s="35"/>
      <c r="F28" s="35"/>
      <c r="G28" s="35"/>
      <c r="H28" s="35"/>
      <c r="I28" s="35"/>
    </row>
    <row r="29" spans="1:10" ht="14.25" customHeight="1">
      <c r="A29" s="328" t="s">
        <v>200</v>
      </c>
      <c r="B29" s="329"/>
      <c r="C29" s="330"/>
      <c r="D29" s="328" t="s">
        <v>205</v>
      </c>
      <c r="E29" s="329"/>
      <c r="F29" s="330"/>
      <c r="G29" s="328" t="s">
        <v>211</v>
      </c>
      <c r="H29" s="329"/>
      <c r="I29" s="330"/>
      <c r="J29" s="26"/>
    </row>
    <row r="30" spans="1:10" ht="14.25" customHeight="1">
      <c r="A30" s="325"/>
      <c r="B30" s="326"/>
      <c r="C30" s="327"/>
      <c r="D30" s="325"/>
      <c r="E30" s="326"/>
      <c r="F30" s="327"/>
      <c r="G30" s="325"/>
      <c r="H30" s="326"/>
      <c r="I30" s="327"/>
      <c r="J30" s="26"/>
    </row>
    <row r="31" spans="1:10" ht="14.25" customHeight="1">
      <c r="A31" s="325"/>
      <c r="B31" s="326"/>
      <c r="C31" s="327"/>
      <c r="D31" s="325"/>
      <c r="E31" s="326"/>
      <c r="F31" s="327"/>
      <c r="G31" s="325"/>
      <c r="H31" s="326"/>
      <c r="I31" s="327"/>
      <c r="J31" s="26"/>
    </row>
    <row r="32" spans="1:10" ht="14.25" customHeight="1">
      <c r="A32" s="325"/>
      <c r="B32" s="326"/>
      <c r="C32" s="327"/>
      <c r="D32" s="325"/>
      <c r="E32" s="326"/>
      <c r="F32" s="327"/>
      <c r="G32" s="325"/>
      <c r="H32" s="326"/>
      <c r="I32" s="327"/>
      <c r="J32" s="26"/>
    </row>
    <row r="33" spans="1:10" ht="14.25" customHeight="1">
      <c r="A33" s="331" t="s">
        <v>201</v>
      </c>
      <c r="B33" s="332"/>
      <c r="C33" s="333"/>
      <c r="D33" s="331" t="s">
        <v>201</v>
      </c>
      <c r="E33" s="332"/>
      <c r="F33" s="333"/>
      <c r="G33" s="331" t="s">
        <v>201</v>
      </c>
      <c r="H33" s="332"/>
      <c r="I33" s="333"/>
      <c r="J33" s="26"/>
    </row>
    <row r="34" spans="1:9" ht="11.25" customHeight="1">
      <c r="A34" s="36" t="s">
        <v>38</v>
      </c>
      <c r="B34" s="37"/>
      <c r="C34" s="37"/>
      <c r="D34" s="37"/>
      <c r="E34" s="37"/>
      <c r="F34" s="37"/>
      <c r="G34" s="37"/>
      <c r="H34" s="37"/>
      <c r="I34" s="37"/>
    </row>
    <row r="35" spans="1:9" ht="12">
      <c r="A35" s="302"/>
      <c r="B35" s="295"/>
      <c r="C35" s="295"/>
      <c r="D35" s="295"/>
      <c r="E35" s="295"/>
      <c r="F35" s="295"/>
      <c r="G35" s="295"/>
      <c r="H35" s="295"/>
      <c r="I35" s="295"/>
    </row>
  </sheetData>
  <sheetProtection/>
  <mergeCells count="65">
    <mergeCell ref="A21:B21"/>
    <mergeCell ref="A35:I35"/>
    <mergeCell ref="A32:C32"/>
    <mergeCell ref="D32:F32"/>
    <mergeCell ref="G32:I32"/>
    <mergeCell ref="A33:C33"/>
    <mergeCell ref="D33:F33"/>
    <mergeCell ref="G33:I33"/>
    <mergeCell ref="A30:C30"/>
    <mergeCell ref="D30:F30"/>
    <mergeCell ref="G30:I30"/>
    <mergeCell ref="A31:C31"/>
    <mergeCell ref="D31:F31"/>
    <mergeCell ref="G31:I31"/>
    <mergeCell ref="A27:B27"/>
    <mergeCell ref="D27:E27"/>
    <mergeCell ref="G27:H27"/>
    <mergeCell ref="A29:C29"/>
    <mergeCell ref="D29:F29"/>
    <mergeCell ref="G29:I29"/>
    <mergeCell ref="C17:H17"/>
    <mergeCell ref="C19:H19"/>
    <mergeCell ref="A14:B14"/>
    <mergeCell ref="A15:B15"/>
    <mergeCell ref="A25:B25"/>
    <mergeCell ref="A26:B26"/>
    <mergeCell ref="D26:E26"/>
    <mergeCell ref="G26:H26"/>
    <mergeCell ref="C18:H18"/>
    <mergeCell ref="A17:B17"/>
    <mergeCell ref="A12:I12"/>
    <mergeCell ref="C14:H14"/>
    <mergeCell ref="C15:H15"/>
    <mergeCell ref="C16:H16"/>
    <mergeCell ref="A13:B13"/>
    <mergeCell ref="C13:H13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E2:E3"/>
    <mergeCell ref="H2:H3"/>
    <mergeCell ref="I2:I3"/>
    <mergeCell ref="C2:D3"/>
  </mergeCells>
  <printOptions/>
  <pageMargins left="0.394" right="0.394" top="0.591" bottom="0.59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1"/>
  <sheetViews>
    <sheetView zoomScale="60" zoomScaleNormal="60" zoomScalePageLayoutView="0" workbookViewId="0" topLeftCell="A1">
      <pane ySplit="3" topLeftCell="A11" activePane="bottomLeft" state="frozen"/>
      <selection pane="topLeft" activeCell="A1" sqref="A1"/>
      <selection pane="bottomLeft" activeCell="O34" sqref="O34"/>
    </sheetView>
  </sheetViews>
  <sheetFormatPr defaultColWidth="11.57421875" defaultRowHeight="12.75"/>
  <cols>
    <col min="1" max="1" width="3.57421875" style="0" customWidth="1"/>
    <col min="2" max="2" width="7.57421875" style="0" customWidth="1"/>
    <col min="3" max="3" width="14.421875" style="0" customWidth="1"/>
    <col min="4" max="4" width="89.140625" style="0" customWidth="1"/>
    <col min="5" max="5" width="4.421875" style="0" customWidth="1"/>
    <col min="6" max="6" width="12.8515625" style="0" customWidth="1"/>
    <col min="7" max="7" width="11.8515625" style="0" customWidth="1"/>
    <col min="8" max="9" width="14.421875" style="0" hidden="1" customWidth="1"/>
    <col min="10" max="10" width="14.421875" style="0" customWidth="1"/>
    <col min="11" max="20" width="11.57421875" style="0" customWidth="1"/>
    <col min="21" max="60" width="12.140625" style="0" hidden="1" customWidth="1"/>
  </cols>
  <sheetData>
    <row r="1" spans="1:13" ht="20.25" customHeight="1" thickBot="1">
      <c r="A1" s="341" t="s">
        <v>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60" ht="12.75">
      <c r="A2" s="1" t="s">
        <v>5</v>
      </c>
      <c r="B2" s="4" t="s">
        <v>39</v>
      </c>
      <c r="C2" s="4" t="s">
        <v>40</v>
      </c>
      <c r="D2" s="4" t="s">
        <v>87</v>
      </c>
      <c r="E2" s="4" t="s">
        <v>135</v>
      </c>
      <c r="F2" s="13" t="s">
        <v>142</v>
      </c>
      <c r="G2" s="16" t="s">
        <v>143</v>
      </c>
      <c r="H2" s="334" t="s">
        <v>149</v>
      </c>
      <c r="I2" s="335"/>
      <c r="J2" s="336"/>
      <c r="K2" s="334" t="s">
        <v>155</v>
      </c>
      <c r="L2" s="336"/>
      <c r="M2" s="23" t="s">
        <v>157</v>
      </c>
      <c r="N2" s="26"/>
      <c r="BG2" s="22" t="s">
        <v>194</v>
      </c>
      <c r="BH2" s="30" t="s">
        <v>196</v>
      </c>
    </row>
    <row r="3" spans="1:58" ht="13.5" thickBot="1">
      <c r="A3" s="2" t="s">
        <v>6</v>
      </c>
      <c r="B3" s="5" t="s">
        <v>6</v>
      </c>
      <c r="C3" s="5" t="s">
        <v>6</v>
      </c>
      <c r="D3" s="10" t="s">
        <v>88</v>
      </c>
      <c r="E3" s="5" t="s">
        <v>6</v>
      </c>
      <c r="F3" s="5" t="s">
        <v>6</v>
      </c>
      <c r="G3" s="17" t="s">
        <v>144</v>
      </c>
      <c r="H3" s="18" t="s">
        <v>150</v>
      </c>
      <c r="I3" s="19" t="s">
        <v>153</v>
      </c>
      <c r="J3" s="20" t="s">
        <v>154</v>
      </c>
      <c r="K3" s="18" t="s">
        <v>156</v>
      </c>
      <c r="L3" s="20" t="s">
        <v>154</v>
      </c>
      <c r="M3" s="24" t="s">
        <v>158</v>
      </c>
      <c r="N3" s="26"/>
      <c r="V3" s="22" t="s">
        <v>162</v>
      </c>
      <c r="W3" s="22" t="s">
        <v>163</v>
      </c>
      <c r="X3" s="22" t="s">
        <v>164</v>
      </c>
      <c r="Y3" s="22" t="s">
        <v>165</v>
      </c>
      <c r="Z3" s="22" t="s">
        <v>166</v>
      </c>
      <c r="AA3" s="22" t="s">
        <v>167</v>
      </c>
      <c r="AB3" s="22" t="s">
        <v>168</v>
      </c>
      <c r="AC3" s="22" t="s">
        <v>169</v>
      </c>
      <c r="AD3" s="22" t="s">
        <v>170</v>
      </c>
      <c r="BD3" s="22" t="s">
        <v>191</v>
      </c>
      <c r="BE3" s="22" t="s">
        <v>192</v>
      </c>
      <c r="BF3" s="22" t="s">
        <v>193</v>
      </c>
    </row>
    <row r="4" spans="1:43" ht="12.75">
      <c r="A4" s="271"/>
      <c r="B4" s="6"/>
      <c r="C4" s="6" t="s">
        <v>41</v>
      </c>
      <c r="D4" s="6" t="s">
        <v>89</v>
      </c>
      <c r="E4" s="11" t="s">
        <v>6</v>
      </c>
      <c r="F4" s="11" t="s">
        <v>6</v>
      </c>
      <c r="G4" s="11" t="s">
        <v>6</v>
      </c>
      <c r="H4" s="31">
        <f>SUM(H5:H8)</f>
        <v>0</v>
      </c>
      <c r="I4" s="31">
        <f>SUM(I5:I8)</f>
        <v>0</v>
      </c>
      <c r="J4" s="31">
        <f>SUM(J5:J8)</f>
        <v>0</v>
      </c>
      <c r="K4" s="21"/>
      <c r="L4" s="31">
        <f>SUM(L5:L8)</f>
        <v>1.060933</v>
      </c>
      <c r="M4" s="272"/>
      <c r="N4" s="64"/>
      <c r="AE4" s="22"/>
      <c r="AO4" s="32">
        <f>SUM(AF5:AF8)</f>
        <v>0</v>
      </c>
      <c r="AP4" s="32">
        <f>SUM(AG5:AG8)</f>
        <v>0</v>
      </c>
      <c r="AQ4" s="32">
        <f>SUM(AH5:AH8)</f>
        <v>0</v>
      </c>
    </row>
    <row r="5" spans="1:60" ht="12.75">
      <c r="A5" s="273" t="s">
        <v>7</v>
      </c>
      <c r="B5" s="7"/>
      <c r="C5" s="7" t="s">
        <v>42</v>
      </c>
      <c r="D5" s="7" t="s">
        <v>90</v>
      </c>
      <c r="E5" s="7" t="s">
        <v>136</v>
      </c>
      <c r="F5" s="41">
        <v>15.1</v>
      </c>
      <c r="G5" s="14">
        <v>0</v>
      </c>
      <c r="H5" s="14">
        <f>F5*AK5</f>
        <v>0</v>
      </c>
      <c r="I5" s="14">
        <f>F5*AL5</f>
        <v>0</v>
      </c>
      <c r="J5" s="14">
        <f>F5*G5</f>
        <v>0</v>
      </c>
      <c r="K5" s="14">
        <v>0.01373</v>
      </c>
      <c r="L5" s="14">
        <f>F5*K5</f>
        <v>0.20732299999999998</v>
      </c>
      <c r="M5" s="274" t="s">
        <v>159</v>
      </c>
      <c r="N5" s="64"/>
      <c r="V5" s="27">
        <f>IF(AM5="5",BF5,0)</f>
        <v>0</v>
      </c>
      <c r="X5" s="27">
        <f>IF(AM5="1",BD5,0)</f>
        <v>0</v>
      </c>
      <c r="Y5" s="27">
        <f>IF(AM5="1",BE5,0)</f>
        <v>0</v>
      </c>
      <c r="Z5" s="27">
        <f>IF(AM5="7",BD5,0)</f>
        <v>0</v>
      </c>
      <c r="AA5" s="27">
        <f>IF(AM5="7",BE5,0)</f>
        <v>0</v>
      </c>
      <c r="AB5" s="27">
        <f>IF(AM5="2",BD5,0)</f>
        <v>0</v>
      </c>
      <c r="AC5" s="27">
        <f>IF(AM5="2",BE5,0)</f>
        <v>0</v>
      </c>
      <c r="AD5" s="27">
        <f>IF(AM5="0",BF5,0)</f>
        <v>0</v>
      </c>
      <c r="AE5" s="22"/>
      <c r="AF5" s="14">
        <f>IF(AJ5=0,J5,0)</f>
        <v>0</v>
      </c>
      <c r="AG5" s="14">
        <f>IF(AJ5=15,J5,0)</f>
        <v>0</v>
      </c>
      <c r="AH5" s="14">
        <f>IF(AJ5=21,J5,0)</f>
        <v>0</v>
      </c>
      <c r="AJ5" s="27">
        <v>21</v>
      </c>
      <c r="AK5" s="27">
        <f>G5*0.373963636363636</f>
        <v>0</v>
      </c>
      <c r="AL5" s="27">
        <f>G5*(1-0.373963636363636)</f>
        <v>0</v>
      </c>
      <c r="AM5" s="28" t="s">
        <v>7</v>
      </c>
      <c r="AR5" s="27">
        <f>AS5+AT5</f>
        <v>0</v>
      </c>
      <c r="AS5" s="27">
        <f>F5*AK5</f>
        <v>0</v>
      </c>
      <c r="AT5" s="27">
        <f>F5*AL5</f>
        <v>0</v>
      </c>
      <c r="AU5" s="29" t="s">
        <v>171</v>
      </c>
      <c r="AV5" s="29" t="s">
        <v>184</v>
      </c>
      <c r="AW5" s="22" t="s">
        <v>190</v>
      </c>
      <c r="AY5" s="27">
        <f>AS5+AT5</f>
        <v>0</v>
      </c>
      <c r="AZ5" s="27">
        <f>G5/(100-BA5)*100</f>
        <v>0</v>
      </c>
      <c r="BA5" s="27">
        <v>0</v>
      </c>
      <c r="BB5" s="27">
        <f>L5</f>
        <v>0.20732299999999998</v>
      </c>
      <c r="BD5" s="14">
        <f>F5*AK5</f>
        <v>0</v>
      </c>
      <c r="BE5" s="14">
        <f>F5*AL5</f>
        <v>0</v>
      </c>
      <c r="BF5" s="14">
        <f>F5*G5</f>
        <v>0</v>
      </c>
      <c r="BG5" s="14" t="s">
        <v>195</v>
      </c>
      <c r="BH5" s="27">
        <v>34</v>
      </c>
    </row>
    <row r="6" spans="1:60" ht="12.75">
      <c r="A6" s="273" t="s">
        <v>8</v>
      </c>
      <c r="B6" s="7"/>
      <c r="C6" s="7" t="s">
        <v>43</v>
      </c>
      <c r="D6" s="7" t="s">
        <v>91</v>
      </c>
      <c r="E6" s="7" t="s">
        <v>137</v>
      </c>
      <c r="F6" s="41">
        <v>1</v>
      </c>
      <c r="G6" s="14">
        <v>0</v>
      </c>
      <c r="H6" s="14">
        <f>F6*AK6</f>
        <v>0</v>
      </c>
      <c r="I6" s="14">
        <f>F6*AL6</f>
        <v>0</v>
      </c>
      <c r="J6" s="14">
        <f>F6*G6</f>
        <v>0</v>
      </c>
      <c r="K6" s="14">
        <v>0.01387</v>
      </c>
      <c r="L6" s="14">
        <f>F6*K6</f>
        <v>0.01387</v>
      </c>
      <c r="M6" s="274" t="s">
        <v>159</v>
      </c>
      <c r="N6" s="64"/>
      <c r="V6" s="27">
        <f>IF(AM6="5",BF6,0)</f>
        <v>0</v>
      </c>
      <c r="X6" s="27">
        <f>IF(AM6="1",BD6,0)</f>
        <v>0</v>
      </c>
      <c r="Y6" s="27">
        <f>IF(AM6="1",BE6,0)</f>
        <v>0</v>
      </c>
      <c r="Z6" s="27">
        <f>IF(AM6="7",BD6,0)</f>
        <v>0</v>
      </c>
      <c r="AA6" s="27">
        <f>IF(AM6="7",BE6,0)</f>
        <v>0</v>
      </c>
      <c r="AB6" s="27">
        <f>IF(AM6="2",BD6,0)</f>
        <v>0</v>
      </c>
      <c r="AC6" s="27">
        <f>IF(AM6="2",BE6,0)</f>
        <v>0</v>
      </c>
      <c r="AD6" s="27">
        <f>IF(AM6="0",BF6,0)</f>
        <v>0</v>
      </c>
      <c r="AE6" s="22"/>
      <c r="AF6" s="14">
        <f>IF(AJ6=0,J6,0)</f>
        <v>0</v>
      </c>
      <c r="AG6" s="14">
        <f>IF(AJ6=15,J6,0)</f>
        <v>0</v>
      </c>
      <c r="AH6" s="14">
        <f>IF(AJ6=21,J6,0)</f>
        <v>0</v>
      </c>
      <c r="AJ6" s="27">
        <v>21</v>
      </c>
      <c r="AK6" s="27">
        <f>G6*0.531393333333333</f>
        <v>0</v>
      </c>
      <c r="AL6" s="27">
        <f>G6*(1-0.531393333333333)</f>
        <v>0</v>
      </c>
      <c r="AM6" s="28" t="s">
        <v>7</v>
      </c>
      <c r="AR6" s="27">
        <f>AS6+AT6</f>
        <v>0</v>
      </c>
      <c r="AS6" s="27">
        <f>F6*AK6</f>
        <v>0</v>
      </c>
      <c r="AT6" s="27">
        <f>F6*AL6</f>
        <v>0</v>
      </c>
      <c r="AU6" s="29" t="s">
        <v>171</v>
      </c>
      <c r="AV6" s="29" t="s">
        <v>184</v>
      </c>
      <c r="AW6" s="22" t="s">
        <v>190</v>
      </c>
      <c r="AY6" s="27">
        <f>AS6+AT6</f>
        <v>0</v>
      </c>
      <c r="AZ6" s="27">
        <f>G6/(100-BA6)*100</f>
        <v>0</v>
      </c>
      <c r="BA6" s="27">
        <v>0</v>
      </c>
      <c r="BB6" s="27">
        <f>L6</f>
        <v>0.01387</v>
      </c>
      <c r="BD6" s="14">
        <f>F6*AK6</f>
        <v>0</v>
      </c>
      <c r="BE6" s="14">
        <f>F6*AL6</f>
        <v>0</v>
      </c>
      <c r="BF6" s="14">
        <f>F6*G6</f>
        <v>0</v>
      </c>
      <c r="BG6" s="14" t="s">
        <v>195</v>
      </c>
      <c r="BH6" s="27">
        <v>34</v>
      </c>
    </row>
    <row r="7" spans="1:60" ht="12.75">
      <c r="A7" s="273" t="s">
        <v>9</v>
      </c>
      <c r="B7" s="7"/>
      <c r="C7" s="7" t="s">
        <v>44</v>
      </c>
      <c r="D7" s="7" t="s">
        <v>92</v>
      </c>
      <c r="E7" s="7" t="s">
        <v>136</v>
      </c>
      <c r="F7" s="41">
        <v>30</v>
      </c>
      <c r="G7" s="14">
        <v>0</v>
      </c>
      <c r="H7" s="14">
        <f>F7*AK7</f>
        <v>0</v>
      </c>
      <c r="I7" s="14">
        <f>F7*AL7</f>
        <v>0</v>
      </c>
      <c r="J7" s="14">
        <f>F7*G7</f>
        <v>0</v>
      </c>
      <c r="K7" s="14">
        <v>0.02391</v>
      </c>
      <c r="L7" s="14">
        <f>F7*K7</f>
        <v>0.7173</v>
      </c>
      <c r="M7" s="274" t="s">
        <v>159</v>
      </c>
      <c r="N7" s="64"/>
      <c r="V7" s="27">
        <f>IF(AM7="5",BF7,0)</f>
        <v>0</v>
      </c>
      <c r="X7" s="27">
        <f>IF(AM7="1",BD7,0)</f>
        <v>0</v>
      </c>
      <c r="Y7" s="27">
        <f>IF(AM7="1",BE7,0)</f>
        <v>0</v>
      </c>
      <c r="Z7" s="27">
        <f>IF(AM7="7",BD7,0)</f>
        <v>0</v>
      </c>
      <c r="AA7" s="27">
        <f>IF(AM7="7",BE7,0)</f>
        <v>0</v>
      </c>
      <c r="AB7" s="27">
        <f>IF(AM7="2",BD7,0)</f>
        <v>0</v>
      </c>
      <c r="AC7" s="27">
        <f>IF(AM7="2",BE7,0)</f>
        <v>0</v>
      </c>
      <c r="AD7" s="27">
        <f>IF(AM7="0",BF7,0)</f>
        <v>0</v>
      </c>
      <c r="AE7" s="22"/>
      <c r="AF7" s="14">
        <f>IF(AJ7=0,J7,0)</f>
        <v>0</v>
      </c>
      <c r="AG7" s="14">
        <f>IF(AJ7=15,J7,0)</f>
        <v>0</v>
      </c>
      <c r="AH7" s="14">
        <f>IF(AJ7=21,J7,0)</f>
        <v>0</v>
      </c>
      <c r="AJ7" s="27">
        <v>21</v>
      </c>
      <c r="AK7" s="27">
        <f>G7*0.47232</f>
        <v>0</v>
      </c>
      <c r="AL7" s="27">
        <f>G7*(1-0.47232)</f>
        <v>0</v>
      </c>
      <c r="AM7" s="28" t="s">
        <v>7</v>
      </c>
      <c r="AR7" s="27">
        <f>AS7+AT7</f>
        <v>0</v>
      </c>
      <c r="AS7" s="27">
        <f>F7*AK7</f>
        <v>0</v>
      </c>
      <c r="AT7" s="27">
        <f>F7*AL7</f>
        <v>0</v>
      </c>
      <c r="AU7" s="29" t="s">
        <v>171</v>
      </c>
      <c r="AV7" s="29" t="s">
        <v>184</v>
      </c>
      <c r="AW7" s="22" t="s">
        <v>190</v>
      </c>
      <c r="AY7" s="27">
        <f>AS7+AT7</f>
        <v>0</v>
      </c>
      <c r="AZ7" s="27">
        <f>G7/(100-BA7)*100</f>
        <v>0</v>
      </c>
      <c r="BA7" s="27">
        <v>0</v>
      </c>
      <c r="BB7" s="27">
        <f>L7</f>
        <v>0.7173</v>
      </c>
      <c r="BD7" s="14">
        <f>F7*AK7</f>
        <v>0</v>
      </c>
      <c r="BE7" s="14">
        <f>F7*AL7</f>
        <v>0</v>
      </c>
      <c r="BF7" s="14">
        <f>F7*G7</f>
        <v>0</v>
      </c>
      <c r="BG7" s="14" t="s">
        <v>195</v>
      </c>
      <c r="BH7" s="27">
        <v>34</v>
      </c>
    </row>
    <row r="8" spans="1:60" ht="12.75">
      <c r="A8" s="273" t="s">
        <v>10</v>
      </c>
      <c r="B8" s="7"/>
      <c r="C8" s="7" t="s">
        <v>45</v>
      </c>
      <c r="D8" s="7" t="s">
        <v>93</v>
      </c>
      <c r="E8" s="7" t="s">
        <v>137</v>
      </c>
      <c r="F8" s="41">
        <v>1</v>
      </c>
      <c r="G8" s="14">
        <v>0</v>
      </c>
      <c r="H8" s="14">
        <f>F8*AK8</f>
        <v>0</v>
      </c>
      <c r="I8" s="14">
        <f>F8*AL8</f>
        <v>0</v>
      </c>
      <c r="J8" s="14">
        <f>F8*G8</f>
        <v>0</v>
      </c>
      <c r="K8" s="14">
        <v>0.12244</v>
      </c>
      <c r="L8" s="14">
        <f>F8*K8</f>
        <v>0.12244</v>
      </c>
      <c r="M8" s="274" t="s">
        <v>159</v>
      </c>
      <c r="N8" s="64"/>
      <c r="V8" s="27">
        <f>IF(AM8="5",BF8,0)</f>
        <v>0</v>
      </c>
      <c r="X8" s="27">
        <f>IF(AM8="1",BD8,0)</f>
        <v>0</v>
      </c>
      <c r="Y8" s="27">
        <f>IF(AM8="1",BE8,0)</f>
        <v>0</v>
      </c>
      <c r="Z8" s="27">
        <f>IF(AM8="7",BD8,0)</f>
        <v>0</v>
      </c>
      <c r="AA8" s="27">
        <f>IF(AM8="7",BE8,0)</f>
        <v>0</v>
      </c>
      <c r="AB8" s="27">
        <f>IF(AM8="2",BD8,0)</f>
        <v>0</v>
      </c>
      <c r="AC8" s="27">
        <f>IF(AM8="2",BE8,0)</f>
        <v>0</v>
      </c>
      <c r="AD8" s="27">
        <f>IF(AM8="0",BF8,0)</f>
        <v>0</v>
      </c>
      <c r="AE8" s="22"/>
      <c r="AF8" s="14">
        <f>IF(AJ8=0,J8,0)</f>
        <v>0</v>
      </c>
      <c r="AG8" s="14">
        <f>IF(AJ8=15,J8,0)</f>
        <v>0</v>
      </c>
      <c r="AH8" s="14">
        <f>IF(AJ8=21,J8,0)</f>
        <v>0</v>
      </c>
      <c r="AJ8" s="27">
        <v>21</v>
      </c>
      <c r="AK8" s="27">
        <f>G8*0.659411320754717</f>
        <v>0</v>
      </c>
      <c r="AL8" s="27">
        <f>G8*(1-0.659411320754717)</f>
        <v>0</v>
      </c>
      <c r="AM8" s="28" t="s">
        <v>7</v>
      </c>
      <c r="AR8" s="27">
        <f>AS8+AT8</f>
        <v>0</v>
      </c>
      <c r="AS8" s="27">
        <f>F8*AK8</f>
        <v>0</v>
      </c>
      <c r="AT8" s="27">
        <f>F8*AL8</f>
        <v>0</v>
      </c>
      <c r="AU8" s="29" t="s">
        <v>171</v>
      </c>
      <c r="AV8" s="29" t="s">
        <v>184</v>
      </c>
      <c r="AW8" s="22" t="s">
        <v>190</v>
      </c>
      <c r="AY8" s="27">
        <f>AS8+AT8</f>
        <v>0</v>
      </c>
      <c r="AZ8" s="27">
        <f>G8/(100-BA8)*100</f>
        <v>0</v>
      </c>
      <c r="BA8" s="27">
        <v>0</v>
      </c>
      <c r="BB8" s="27">
        <f>L8</f>
        <v>0.12244</v>
      </c>
      <c r="BD8" s="14">
        <f>F8*AK8</f>
        <v>0</v>
      </c>
      <c r="BE8" s="14">
        <f>F8*AL8</f>
        <v>0</v>
      </c>
      <c r="BF8" s="14">
        <f>F8*G8</f>
        <v>0</v>
      </c>
      <c r="BG8" s="14" t="s">
        <v>195</v>
      </c>
      <c r="BH8" s="27">
        <v>34</v>
      </c>
    </row>
    <row r="9" spans="1:43" ht="12.75">
      <c r="A9" s="275"/>
      <c r="B9" s="8"/>
      <c r="C9" s="8" t="s">
        <v>46</v>
      </c>
      <c r="D9" s="8" t="s">
        <v>94</v>
      </c>
      <c r="E9" s="12" t="s">
        <v>6</v>
      </c>
      <c r="F9" s="12" t="s">
        <v>6</v>
      </c>
      <c r="G9" s="12"/>
      <c r="H9" s="32">
        <f>SUM(H10:H14)</f>
        <v>0</v>
      </c>
      <c r="I9" s="32">
        <f>SUM(I10:I14)</f>
        <v>0</v>
      </c>
      <c r="J9" s="32">
        <f>SUM(J10:J14)</f>
        <v>0</v>
      </c>
      <c r="K9" s="22"/>
      <c r="L9" s="32">
        <f>SUM(L10:L14)</f>
        <v>1.9691800000000002</v>
      </c>
      <c r="M9" s="276"/>
      <c r="N9" s="64"/>
      <c r="AE9" s="22"/>
      <c r="AO9" s="32">
        <f>SUM(AF10:AF14)</f>
        <v>0</v>
      </c>
      <c r="AP9" s="32">
        <f>SUM(AG10:AG14)</f>
        <v>0</v>
      </c>
      <c r="AQ9" s="32">
        <f>SUM(AH10:AH14)</f>
        <v>0</v>
      </c>
    </row>
    <row r="10" spans="1:60" ht="12.75">
      <c r="A10" s="273" t="s">
        <v>11</v>
      </c>
      <c r="B10" s="7"/>
      <c r="C10" s="7" t="s">
        <v>47</v>
      </c>
      <c r="D10" s="7" t="s">
        <v>95</v>
      </c>
      <c r="E10" s="7" t="s">
        <v>136</v>
      </c>
      <c r="F10" s="41">
        <v>25.1</v>
      </c>
      <c r="G10" s="14">
        <v>0</v>
      </c>
      <c r="H10" s="14">
        <f>F10*AK10</f>
        <v>0</v>
      </c>
      <c r="I10" s="14">
        <f>F10*AL10</f>
        <v>0</v>
      </c>
      <c r="J10" s="14">
        <f>F10*G10</f>
        <v>0</v>
      </c>
      <c r="K10" s="14">
        <v>0.00367</v>
      </c>
      <c r="L10" s="14">
        <f>F10*K10</f>
        <v>0.092117</v>
      </c>
      <c r="M10" s="274" t="s">
        <v>159</v>
      </c>
      <c r="N10" s="64"/>
      <c r="V10" s="27">
        <f>IF(AM10="5",BF10,0)</f>
        <v>0</v>
      </c>
      <c r="X10" s="27">
        <f>IF(AM10="1",BD10,0)</f>
        <v>0</v>
      </c>
      <c r="Y10" s="27">
        <f>IF(AM10="1",BE10,0)</f>
        <v>0</v>
      </c>
      <c r="Z10" s="27">
        <f>IF(AM10="7",BD10,0)</f>
        <v>0</v>
      </c>
      <c r="AA10" s="27">
        <f>IF(AM10="7",BE10,0)</f>
        <v>0</v>
      </c>
      <c r="AB10" s="27">
        <f>IF(AM10="2",BD10,0)</f>
        <v>0</v>
      </c>
      <c r="AC10" s="27">
        <f>IF(AM10="2",BE10,0)</f>
        <v>0</v>
      </c>
      <c r="AD10" s="27">
        <f>IF(AM10="0",BF10,0)</f>
        <v>0</v>
      </c>
      <c r="AE10" s="22"/>
      <c r="AF10" s="14">
        <f>IF(AJ10=0,J10,0)</f>
        <v>0</v>
      </c>
      <c r="AG10" s="14">
        <f>IF(AJ10=15,J10,0)</f>
        <v>0</v>
      </c>
      <c r="AH10" s="14">
        <f>IF(AJ10=21,J10,0)</f>
        <v>0</v>
      </c>
      <c r="AJ10" s="27">
        <v>21</v>
      </c>
      <c r="AK10" s="27">
        <f>G10*0.260262626262626</f>
        <v>0</v>
      </c>
      <c r="AL10" s="27">
        <f>G10*(1-0.260262626262626)</f>
        <v>0</v>
      </c>
      <c r="AM10" s="28" t="s">
        <v>7</v>
      </c>
      <c r="AR10" s="27">
        <f>AS10+AT10</f>
        <v>0</v>
      </c>
      <c r="AS10" s="27">
        <f>F10*AK10</f>
        <v>0</v>
      </c>
      <c r="AT10" s="27">
        <f>F10*AL10</f>
        <v>0</v>
      </c>
      <c r="AU10" s="29" t="s">
        <v>172</v>
      </c>
      <c r="AV10" s="29" t="s">
        <v>185</v>
      </c>
      <c r="AW10" s="22" t="s">
        <v>190</v>
      </c>
      <c r="AY10" s="27">
        <f>AS10+AT10</f>
        <v>0</v>
      </c>
      <c r="AZ10" s="27">
        <f>G10/(100-BA10)*100</f>
        <v>0</v>
      </c>
      <c r="BA10" s="27">
        <v>0</v>
      </c>
      <c r="BB10" s="27">
        <f>L10</f>
        <v>0.092117</v>
      </c>
      <c r="BD10" s="14">
        <f>F10*AK10</f>
        <v>0</v>
      </c>
      <c r="BE10" s="14">
        <f>F10*AL10</f>
        <v>0</v>
      </c>
      <c r="BF10" s="14">
        <f>F10*G10</f>
        <v>0</v>
      </c>
      <c r="BG10" s="14" t="s">
        <v>195</v>
      </c>
      <c r="BH10" s="27">
        <v>61</v>
      </c>
    </row>
    <row r="11" spans="1:60" ht="12.75">
      <c r="A11" s="273" t="s">
        <v>12</v>
      </c>
      <c r="B11" s="7"/>
      <c r="C11" s="7" t="s">
        <v>48</v>
      </c>
      <c r="D11" s="7" t="s">
        <v>96</v>
      </c>
      <c r="E11" s="7" t="s">
        <v>136</v>
      </c>
      <c r="F11" s="41">
        <v>50.2</v>
      </c>
      <c r="G11" s="14">
        <v>0</v>
      </c>
      <c r="H11" s="14">
        <f>F11*AK11</f>
        <v>0</v>
      </c>
      <c r="I11" s="14">
        <f>F11*AL11</f>
        <v>0</v>
      </c>
      <c r="J11" s="14">
        <f>F11*G11</f>
        <v>0</v>
      </c>
      <c r="K11" s="14">
        <v>0.02888</v>
      </c>
      <c r="L11" s="14">
        <f>F11*K11</f>
        <v>1.449776</v>
      </c>
      <c r="M11" s="274" t="s">
        <v>159</v>
      </c>
      <c r="N11" s="64"/>
      <c r="V11" s="27">
        <f>IF(AM11="5",BF11,0)</f>
        <v>0</v>
      </c>
      <c r="X11" s="27">
        <f>IF(AM11="1",BD11,0)</f>
        <v>0</v>
      </c>
      <c r="Y11" s="27">
        <f>IF(AM11="1",BE11,0)</f>
        <v>0</v>
      </c>
      <c r="Z11" s="27">
        <f>IF(AM11="7",BD11,0)</f>
        <v>0</v>
      </c>
      <c r="AA11" s="27">
        <f>IF(AM11="7",BE11,0)</f>
        <v>0</v>
      </c>
      <c r="AB11" s="27">
        <f>IF(AM11="2",BD11,0)</f>
        <v>0</v>
      </c>
      <c r="AC11" s="27">
        <f>IF(AM11="2",BE11,0)</f>
        <v>0</v>
      </c>
      <c r="AD11" s="27">
        <f>IF(AM11="0",BF11,0)</f>
        <v>0</v>
      </c>
      <c r="AE11" s="22"/>
      <c r="AF11" s="14">
        <f>IF(AJ11=0,J11,0)</f>
        <v>0</v>
      </c>
      <c r="AG11" s="14">
        <f>IF(AJ11=15,J11,0)</f>
        <v>0</v>
      </c>
      <c r="AH11" s="14">
        <f>IF(AJ11=21,J11,0)</f>
        <v>0</v>
      </c>
      <c r="AJ11" s="27">
        <v>21</v>
      </c>
      <c r="AK11" s="27">
        <f>G11*0.324</f>
        <v>0</v>
      </c>
      <c r="AL11" s="27">
        <f>G11*(1-0.324)</f>
        <v>0</v>
      </c>
      <c r="AM11" s="28" t="s">
        <v>7</v>
      </c>
      <c r="AR11" s="27">
        <f>AS11+AT11</f>
        <v>0</v>
      </c>
      <c r="AS11" s="27">
        <f>F11*AK11</f>
        <v>0</v>
      </c>
      <c r="AT11" s="27">
        <f>F11*AL11</f>
        <v>0</v>
      </c>
      <c r="AU11" s="29" t="s">
        <v>172</v>
      </c>
      <c r="AV11" s="29" t="s">
        <v>185</v>
      </c>
      <c r="AW11" s="22" t="s">
        <v>190</v>
      </c>
      <c r="AY11" s="27">
        <f>AS11+AT11</f>
        <v>0</v>
      </c>
      <c r="AZ11" s="27">
        <f>G11/(100-BA11)*100</f>
        <v>0</v>
      </c>
      <c r="BA11" s="27">
        <v>0</v>
      </c>
      <c r="BB11" s="27">
        <f>L11</f>
        <v>1.449776</v>
      </c>
      <c r="BD11" s="14">
        <f>F11*AK11</f>
        <v>0</v>
      </c>
      <c r="BE11" s="14">
        <f>F11*AL11</f>
        <v>0</v>
      </c>
      <c r="BF11" s="14">
        <f>F11*G11</f>
        <v>0</v>
      </c>
      <c r="BG11" s="14" t="s">
        <v>195</v>
      </c>
      <c r="BH11" s="27">
        <v>61</v>
      </c>
    </row>
    <row r="12" spans="1:60" ht="12.75">
      <c r="A12" s="273" t="s">
        <v>13</v>
      </c>
      <c r="B12" s="7"/>
      <c r="C12" s="7" t="s">
        <v>49</v>
      </c>
      <c r="D12" s="7" t="s">
        <v>97</v>
      </c>
      <c r="E12" s="7" t="s">
        <v>136</v>
      </c>
      <c r="F12" s="41">
        <v>10.1</v>
      </c>
      <c r="G12" s="14">
        <v>0</v>
      </c>
      <c r="H12" s="14">
        <f>F12*AK12</f>
        <v>0</v>
      </c>
      <c r="I12" s="14">
        <f>F12*AL12</f>
        <v>0</v>
      </c>
      <c r="J12" s="14">
        <f>F12*G12</f>
        <v>0</v>
      </c>
      <c r="K12" s="14">
        <v>0.00626</v>
      </c>
      <c r="L12" s="14">
        <f>F12*K12</f>
        <v>0.06322599999999999</v>
      </c>
      <c r="M12" s="274" t="s">
        <v>159</v>
      </c>
      <c r="N12" s="64"/>
      <c r="V12" s="27">
        <f>IF(AM12="5",BF12,0)</f>
        <v>0</v>
      </c>
      <c r="X12" s="27">
        <f>IF(AM12="1",BD12,0)</f>
        <v>0</v>
      </c>
      <c r="Y12" s="27">
        <f>IF(AM12="1",BE12,0)</f>
        <v>0</v>
      </c>
      <c r="Z12" s="27">
        <f>IF(AM12="7",BD12,0)</f>
        <v>0</v>
      </c>
      <c r="AA12" s="27">
        <f>IF(AM12="7",BE12,0)</f>
        <v>0</v>
      </c>
      <c r="AB12" s="27">
        <f>IF(AM12="2",BD12,0)</f>
        <v>0</v>
      </c>
      <c r="AC12" s="27">
        <f>IF(AM12="2",BE12,0)</f>
        <v>0</v>
      </c>
      <c r="AD12" s="27">
        <f>IF(AM12="0",BF12,0)</f>
        <v>0</v>
      </c>
      <c r="AE12" s="22"/>
      <c r="AF12" s="14">
        <f>IF(AJ12=0,J12,0)</f>
        <v>0</v>
      </c>
      <c r="AG12" s="14">
        <f>IF(AJ12=15,J12,0)</f>
        <v>0</v>
      </c>
      <c r="AH12" s="14">
        <f>IF(AJ12=21,J12,0)</f>
        <v>0</v>
      </c>
      <c r="AJ12" s="27">
        <v>21</v>
      </c>
      <c r="AK12" s="27">
        <f>G12*0.31521875</f>
        <v>0</v>
      </c>
      <c r="AL12" s="27">
        <f>G12*(1-0.31521875)</f>
        <v>0</v>
      </c>
      <c r="AM12" s="28" t="s">
        <v>7</v>
      </c>
      <c r="AR12" s="27">
        <f>AS12+AT12</f>
        <v>0</v>
      </c>
      <c r="AS12" s="27">
        <f>F12*AK12</f>
        <v>0</v>
      </c>
      <c r="AT12" s="27">
        <f>F12*AL12</f>
        <v>0</v>
      </c>
      <c r="AU12" s="29" t="s">
        <v>172</v>
      </c>
      <c r="AV12" s="29" t="s">
        <v>185</v>
      </c>
      <c r="AW12" s="22" t="s">
        <v>190</v>
      </c>
      <c r="AY12" s="27">
        <f>AS12+AT12</f>
        <v>0</v>
      </c>
      <c r="AZ12" s="27">
        <f>G12/(100-BA12)*100</f>
        <v>0</v>
      </c>
      <c r="BA12" s="27">
        <v>0</v>
      </c>
      <c r="BB12" s="27">
        <f>L12</f>
        <v>0.06322599999999999</v>
      </c>
      <c r="BD12" s="14">
        <f>F12*AK12</f>
        <v>0</v>
      </c>
      <c r="BE12" s="14">
        <f>F12*AL12</f>
        <v>0</v>
      </c>
      <c r="BF12" s="14">
        <f>F12*G12</f>
        <v>0</v>
      </c>
      <c r="BG12" s="14" t="s">
        <v>195</v>
      </c>
      <c r="BH12" s="27">
        <v>61</v>
      </c>
    </row>
    <row r="13" spans="1:60" ht="12.75">
      <c r="A13" s="273" t="s">
        <v>14</v>
      </c>
      <c r="B13" s="7"/>
      <c r="C13" s="7" t="s">
        <v>50</v>
      </c>
      <c r="D13" s="7" t="s">
        <v>98</v>
      </c>
      <c r="E13" s="7" t="s">
        <v>136</v>
      </c>
      <c r="F13" s="41">
        <v>15.1</v>
      </c>
      <c r="G13" s="14">
        <v>0</v>
      </c>
      <c r="H13" s="14">
        <f>F13*AK13</f>
        <v>0</v>
      </c>
      <c r="I13" s="14">
        <f>F13*AL13</f>
        <v>0</v>
      </c>
      <c r="J13" s="14">
        <f>F13*G13</f>
        <v>0</v>
      </c>
      <c r="K13" s="14">
        <v>0.01768</v>
      </c>
      <c r="L13" s="14">
        <f>F13*K13</f>
        <v>0.26696800000000004</v>
      </c>
      <c r="M13" s="274" t="s">
        <v>159</v>
      </c>
      <c r="N13" s="64"/>
      <c r="V13" s="27">
        <f>IF(AM13="5",BF13,0)</f>
        <v>0</v>
      </c>
      <c r="X13" s="27">
        <f>IF(AM13="1",BD13,0)</f>
        <v>0</v>
      </c>
      <c r="Y13" s="27">
        <f>IF(AM13="1",BE13,0)</f>
        <v>0</v>
      </c>
      <c r="Z13" s="27">
        <f>IF(AM13="7",BD13,0)</f>
        <v>0</v>
      </c>
      <c r="AA13" s="27">
        <f>IF(AM13="7",BE13,0)</f>
        <v>0</v>
      </c>
      <c r="AB13" s="27">
        <f>IF(AM13="2",BD13,0)</f>
        <v>0</v>
      </c>
      <c r="AC13" s="27">
        <f>IF(AM13="2",BE13,0)</f>
        <v>0</v>
      </c>
      <c r="AD13" s="27">
        <f>IF(AM13="0",BF13,0)</f>
        <v>0</v>
      </c>
      <c r="AE13" s="22"/>
      <c r="AF13" s="14">
        <f>IF(AJ13=0,J13,0)</f>
        <v>0</v>
      </c>
      <c r="AG13" s="14">
        <f>IF(AJ13=15,J13,0)</f>
        <v>0</v>
      </c>
      <c r="AH13" s="14">
        <f>IF(AJ13=21,J13,0)</f>
        <v>0</v>
      </c>
      <c r="AJ13" s="27">
        <v>21</v>
      </c>
      <c r="AK13" s="27">
        <f>G13*0.141969111969112</f>
        <v>0</v>
      </c>
      <c r="AL13" s="27">
        <f>G13*(1-0.141969111969112)</f>
        <v>0</v>
      </c>
      <c r="AM13" s="28" t="s">
        <v>7</v>
      </c>
      <c r="AR13" s="27">
        <f>AS13+AT13</f>
        <v>0</v>
      </c>
      <c r="AS13" s="27">
        <f>F13*AK13</f>
        <v>0</v>
      </c>
      <c r="AT13" s="27">
        <f>F13*AL13</f>
        <v>0</v>
      </c>
      <c r="AU13" s="29" t="s">
        <v>172</v>
      </c>
      <c r="AV13" s="29" t="s">
        <v>185</v>
      </c>
      <c r="AW13" s="22" t="s">
        <v>190</v>
      </c>
      <c r="AY13" s="27">
        <f>AS13+AT13</f>
        <v>0</v>
      </c>
      <c r="AZ13" s="27">
        <f>G13/(100-BA13)*100</f>
        <v>0</v>
      </c>
      <c r="BA13" s="27">
        <v>0</v>
      </c>
      <c r="BB13" s="27">
        <f>L13</f>
        <v>0.26696800000000004</v>
      </c>
      <c r="BD13" s="14">
        <f>F13*AK13</f>
        <v>0</v>
      </c>
      <c r="BE13" s="14">
        <f>F13*AL13</f>
        <v>0</v>
      </c>
      <c r="BF13" s="14">
        <f>F13*G13</f>
        <v>0</v>
      </c>
      <c r="BG13" s="14" t="s">
        <v>195</v>
      </c>
      <c r="BH13" s="27">
        <v>61</v>
      </c>
    </row>
    <row r="14" spans="1:60" ht="12.75">
      <c r="A14" s="273" t="s">
        <v>15</v>
      </c>
      <c r="B14" s="7"/>
      <c r="C14" s="7" t="s">
        <v>51</v>
      </c>
      <c r="D14" s="7" t="s">
        <v>99</v>
      </c>
      <c r="E14" s="7" t="s">
        <v>136</v>
      </c>
      <c r="F14" s="41">
        <v>15.1</v>
      </c>
      <c r="G14" s="14">
        <v>0</v>
      </c>
      <c r="H14" s="14">
        <f>F14*AK14</f>
        <v>0</v>
      </c>
      <c r="I14" s="14">
        <f>F14*AL14</f>
        <v>0</v>
      </c>
      <c r="J14" s="14">
        <f>F14*G14</f>
        <v>0</v>
      </c>
      <c r="K14" s="14">
        <v>0.00643</v>
      </c>
      <c r="L14" s="14">
        <f>F14*K14</f>
        <v>0.097093</v>
      </c>
      <c r="M14" s="274" t="s">
        <v>159</v>
      </c>
      <c r="N14" s="64"/>
      <c r="V14" s="27">
        <f>IF(AM14="5",BF14,0)</f>
        <v>0</v>
      </c>
      <c r="X14" s="27">
        <f>IF(AM14="1",BD14,0)</f>
        <v>0</v>
      </c>
      <c r="Y14" s="27">
        <f>IF(AM14="1",BE14,0)</f>
        <v>0</v>
      </c>
      <c r="Z14" s="27">
        <f>IF(AM14="7",BD14,0)</f>
        <v>0</v>
      </c>
      <c r="AA14" s="27">
        <f>IF(AM14="7",BE14,0)</f>
        <v>0</v>
      </c>
      <c r="AB14" s="27">
        <f>IF(AM14="2",BD14,0)</f>
        <v>0</v>
      </c>
      <c r="AC14" s="27">
        <f>IF(AM14="2",BE14,0)</f>
        <v>0</v>
      </c>
      <c r="AD14" s="27">
        <f>IF(AM14="0",BF14,0)</f>
        <v>0</v>
      </c>
      <c r="AE14" s="22"/>
      <c r="AF14" s="14">
        <f>IF(AJ14=0,J14,0)</f>
        <v>0</v>
      </c>
      <c r="AG14" s="14">
        <f>IF(AJ14=15,J14,0)</f>
        <v>0</v>
      </c>
      <c r="AH14" s="14">
        <f>IF(AJ14=21,J14,0)</f>
        <v>0</v>
      </c>
      <c r="AJ14" s="27">
        <v>21</v>
      </c>
      <c r="AK14" s="27">
        <f>G14*0.329487951807229</f>
        <v>0</v>
      </c>
      <c r="AL14" s="27">
        <f>G14*(1-0.329487951807229)</f>
        <v>0</v>
      </c>
      <c r="AM14" s="28" t="s">
        <v>7</v>
      </c>
      <c r="AR14" s="27">
        <f>AS14+AT14</f>
        <v>0</v>
      </c>
      <c r="AS14" s="27">
        <f>F14*AK14</f>
        <v>0</v>
      </c>
      <c r="AT14" s="27">
        <f>F14*AL14</f>
        <v>0</v>
      </c>
      <c r="AU14" s="29" t="s">
        <v>172</v>
      </c>
      <c r="AV14" s="29" t="s">
        <v>185</v>
      </c>
      <c r="AW14" s="22" t="s">
        <v>190</v>
      </c>
      <c r="AY14" s="27">
        <f>AS14+AT14</f>
        <v>0</v>
      </c>
      <c r="AZ14" s="27">
        <f>G14/(100-BA14)*100</f>
        <v>0</v>
      </c>
      <c r="BA14" s="27">
        <v>0</v>
      </c>
      <c r="BB14" s="27">
        <f>L14</f>
        <v>0.097093</v>
      </c>
      <c r="BD14" s="14">
        <f>F14*AK14</f>
        <v>0</v>
      </c>
      <c r="BE14" s="14">
        <f>F14*AL14</f>
        <v>0</v>
      </c>
      <c r="BF14" s="14">
        <f>F14*G14</f>
        <v>0</v>
      </c>
      <c r="BG14" s="14" t="s">
        <v>195</v>
      </c>
      <c r="BH14" s="27">
        <v>61</v>
      </c>
    </row>
    <row r="15" spans="1:43" ht="12.75">
      <c r="A15" s="275"/>
      <c r="B15" s="8"/>
      <c r="C15" s="8" t="s">
        <v>52</v>
      </c>
      <c r="D15" s="8" t="s">
        <v>100</v>
      </c>
      <c r="E15" s="12" t="s">
        <v>6</v>
      </c>
      <c r="F15" s="12" t="s">
        <v>6</v>
      </c>
      <c r="G15" s="12"/>
      <c r="H15" s="32">
        <f>SUM(H16:H16)</f>
        <v>0</v>
      </c>
      <c r="I15" s="32">
        <f>SUM(I16:I16)</f>
        <v>0</v>
      </c>
      <c r="J15" s="32">
        <f>SUM(J16:J16)</f>
        <v>0</v>
      </c>
      <c r="K15" s="22"/>
      <c r="L15" s="32">
        <f>SUM(L16:L16)</f>
        <v>0.01277</v>
      </c>
      <c r="M15" s="276"/>
      <c r="N15" s="64"/>
      <c r="AE15" s="22"/>
      <c r="AO15" s="32">
        <f>SUM(AF16:AF16)</f>
        <v>0</v>
      </c>
      <c r="AP15" s="32">
        <f>SUM(AG16:AG16)</f>
        <v>0</v>
      </c>
      <c r="AQ15" s="32">
        <f>SUM(AH16:AH16)</f>
        <v>0</v>
      </c>
    </row>
    <row r="16" spans="1:60" ht="12.75">
      <c r="A16" s="273" t="s">
        <v>16</v>
      </c>
      <c r="B16" s="7"/>
      <c r="C16" s="7" t="s">
        <v>53</v>
      </c>
      <c r="D16" s="7" t="s">
        <v>101</v>
      </c>
      <c r="E16" s="7" t="s">
        <v>137</v>
      </c>
      <c r="F16" s="41">
        <v>1</v>
      </c>
      <c r="G16" s="14">
        <v>0</v>
      </c>
      <c r="H16" s="14">
        <f>F16*AK16</f>
        <v>0</v>
      </c>
      <c r="I16" s="14">
        <f>F16*AL16</f>
        <v>0</v>
      </c>
      <c r="J16" s="14">
        <f>F16*G16</f>
        <v>0</v>
      </c>
      <c r="K16" s="14">
        <v>0.01277</v>
      </c>
      <c r="L16" s="14">
        <f>F16*K16</f>
        <v>0.01277</v>
      </c>
      <c r="M16" s="274" t="s">
        <v>159</v>
      </c>
      <c r="N16" s="64"/>
      <c r="V16" s="27">
        <f>IF(AM16="5",BF16,0)</f>
        <v>0</v>
      </c>
      <c r="X16" s="27">
        <f>IF(AM16="1",BD16,0)</f>
        <v>0</v>
      </c>
      <c r="Y16" s="27">
        <f>IF(AM16="1",BE16,0)</f>
        <v>0</v>
      </c>
      <c r="Z16" s="27">
        <f>IF(AM16="7",BD16,0)</f>
        <v>0</v>
      </c>
      <c r="AA16" s="27">
        <f>IF(AM16="7",BE16,0)</f>
        <v>0</v>
      </c>
      <c r="AB16" s="27">
        <f>IF(AM16="2",BD16,0)</f>
        <v>0</v>
      </c>
      <c r="AC16" s="27">
        <f>IF(AM16="2",BE16,0)</f>
        <v>0</v>
      </c>
      <c r="AD16" s="27">
        <f>IF(AM16="0",BF16,0)</f>
        <v>0</v>
      </c>
      <c r="AE16" s="22"/>
      <c r="AF16" s="14">
        <f>IF(AJ16=0,J16,0)</f>
        <v>0</v>
      </c>
      <c r="AG16" s="14">
        <f>IF(AJ16=15,J16,0)</f>
        <v>0</v>
      </c>
      <c r="AH16" s="14">
        <f>IF(AJ16=21,J16,0)</f>
        <v>0</v>
      </c>
      <c r="AJ16" s="27">
        <v>21</v>
      </c>
      <c r="AK16" s="27">
        <f>G16*0.43599375</f>
        <v>0</v>
      </c>
      <c r="AL16" s="27">
        <f>G16*(1-0.43599375)</f>
        <v>0</v>
      </c>
      <c r="AM16" s="28" t="s">
        <v>7</v>
      </c>
      <c r="AR16" s="27">
        <f>AS16+AT16</f>
        <v>0</v>
      </c>
      <c r="AS16" s="27">
        <f>F16*AK16</f>
        <v>0</v>
      </c>
      <c r="AT16" s="27">
        <f>F16*AL16</f>
        <v>0</v>
      </c>
      <c r="AU16" s="29" t="s">
        <v>173</v>
      </c>
      <c r="AV16" s="29" t="s">
        <v>185</v>
      </c>
      <c r="AW16" s="22" t="s">
        <v>190</v>
      </c>
      <c r="AY16" s="27">
        <f>AS16+AT16</f>
        <v>0</v>
      </c>
      <c r="AZ16" s="27">
        <f>G16/(100-BA16)*100</f>
        <v>0</v>
      </c>
      <c r="BA16" s="27">
        <v>0</v>
      </c>
      <c r="BB16" s="27">
        <f>L16</f>
        <v>0.01277</v>
      </c>
      <c r="BD16" s="14">
        <f>F16*AK16</f>
        <v>0</v>
      </c>
      <c r="BE16" s="14">
        <f>F16*AL16</f>
        <v>0</v>
      </c>
      <c r="BF16" s="14">
        <f>F16*G16</f>
        <v>0</v>
      </c>
      <c r="BG16" s="14" t="s">
        <v>195</v>
      </c>
      <c r="BH16" s="27">
        <v>62</v>
      </c>
    </row>
    <row r="17" spans="1:43" ht="12.75">
      <c r="A17" s="275"/>
      <c r="B17" s="8"/>
      <c r="C17" s="8" t="s">
        <v>54</v>
      </c>
      <c r="D17" s="8" t="s">
        <v>102</v>
      </c>
      <c r="E17" s="12" t="s">
        <v>6</v>
      </c>
      <c r="F17" s="12" t="s">
        <v>6</v>
      </c>
      <c r="G17" s="12"/>
      <c r="H17" s="32">
        <f>SUM(H18:H18)</f>
        <v>0</v>
      </c>
      <c r="I17" s="32">
        <f>SUM(I18:I18)</f>
        <v>0</v>
      </c>
      <c r="J17" s="32">
        <f>SUM(J18:J18)</f>
        <v>0</v>
      </c>
      <c r="K17" s="22"/>
      <c r="L17" s="32">
        <f>SUM(L18:L18)</f>
        <v>0.00577</v>
      </c>
      <c r="M17" s="276"/>
      <c r="N17" s="64"/>
      <c r="AE17" s="22"/>
      <c r="AO17" s="32">
        <f>SUM(AF18:AF18)</f>
        <v>0</v>
      </c>
      <c r="AP17" s="32">
        <f>SUM(AG18:AG18)</f>
        <v>0</v>
      </c>
      <c r="AQ17" s="32">
        <f>SUM(AH18:AH18)</f>
        <v>0</v>
      </c>
    </row>
    <row r="18" spans="1:60" ht="12.75">
      <c r="A18" s="273" t="s">
        <v>17</v>
      </c>
      <c r="B18" s="7"/>
      <c r="C18" s="7" t="s">
        <v>55</v>
      </c>
      <c r="D18" s="7" t="s">
        <v>103</v>
      </c>
      <c r="E18" s="7" t="s">
        <v>136</v>
      </c>
      <c r="F18" s="41">
        <v>1</v>
      </c>
      <c r="G18" s="14">
        <v>0</v>
      </c>
      <c r="H18" s="14">
        <f>F18*AK18</f>
        <v>0</v>
      </c>
      <c r="I18" s="14">
        <f>F18*AL18</f>
        <v>0</v>
      </c>
      <c r="J18" s="14">
        <f>F18*G18</f>
        <v>0</v>
      </c>
      <c r="K18" s="14">
        <v>0.00577</v>
      </c>
      <c r="L18" s="14">
        <f>F18*K18</f>
        <v>0.00577</v>
      </c>
      <c r="M18" s="274" t="s">
        <v>159</v>
      </c>
      <c r="N18" s="64"/>
      <c r="V18" s="27">
        <f>IF(AM18="5",BF18,0)</f>
        <v>0</v>
      </c>
      <c r="X18" s="27">
        <f>IF(AM18="1",BD18,0)</f>
        <v>0</v>
      </c>
      <c r="Y18" s="27">
        <f>IF(AM18="1",BE18,0)</f>
        <v>0</v>
      </c>
      <c r="Z18" s="27">
        <f>IF(AM18="7",BD18,0)</f>
        <v>0</v>
      </c>
      <c r="AA18" s="27">
        <f>IF(AM18="7",BE18,0)</f>
        <v>0</v>
      </c>
      <c r="AB18" s="27">
        <f>IF(AM18="2",BD18,0)</f>
        <v>0</v>
      </c>
      <c r="AC18" s="27">
        <f>IF(AM18="2",BE18,0)</f>
        <v>0</v>
      </c>
      <c r="AD18" s="27">
        <f>IF(AM18="0",BF18,0)</f>
        <v>0</v>
      </c>
      <c r="AE18" s="22"/>
      <c r="AF18" s="14">
        <f>IF(AJ18=0,J18,0)</f>
        <v>0</v>
      </c>
      <c r="AG18" s="14">
        <f>IF(AJ18=15,J18,0)</f>
        <v>0</v>
      </c>
      <c r="AH18" s="14">
        <f>IF(AJ18=21,J18,0)</f>
        <v>0</v>
      </c>
      <c r="AJ18" s="27">
        <v>21</v>
      </c>
      <c r="AK18" s="27">
        <f>G18*0.102386206896552</f>
        <v>0</v>
      </c>
      <c r="AL18" s="27">
        <f>G18*(1-0.102386206896552)</f>
        <v>0</v>
      </c>
      <c r="AM18" s="28" t="s">
        <v>13</v>
      </c>
      <c r="AR18" s="27">
        <f>AS18+AT18</f>
        <v>0</v>
      </c>
      <c r="AS18" s="27">
        <f>F18*AK18</f>
        <v>0</v>
      </c>
      <c r="AT18" s="27">
        <f>F18*AL18</f>
        <v>0</v>
      </c>
      <c r="AU18" s="29" t="s">
        <v>174</v>
      </c>
      <c r="AV18" s="29" t="s">
        <v>186</v>
      </c>
      <c r="AW18" s="22" t="s">
        <v>190</v>
      </c>
      <c r="AY18" s="27">
        <f>AS18+AT18</f>
        <v>0</v>
      </c>
      <c r="AZ18" s="27">
        <f>G18/(100-BA18)*100</f>
        <v>0</v>
      </c>
      <c r="BA18" s="27">
        <v>0</v>
      </c>
      <c r="BB18" s="27">
        <f>L18</f>
        <v>0.00577</v>
      </c>
      <c r="BD18" s="14">
        <f>F18*AK18</f>
        <v>0</v>
      </c>
      <c r="BE18" s="14">
        <f>F18*AL18</f>
        <v>0</v>
      </c>
      <c r="BF18" s="14">
        <f>F18*G18</f>
        <v>0</v>
      </c>
      <c r="BG18" s="14" t="s">
        <v>195</v>
      </c>
      <c r="BH18" s="27">
        <v>714</v>
      </c>
    </row>
    <row r="19" spans="1:43" ht="12.75">
      <c r="A19" s="275"/>
      <c r="B19" s="8"/>
      <c r="C19" s="8" t="s">
        <v>56</v>
      </c>
      <c r="D19" s="8" t="s">
        <v>104</v>
      </c>
      <c r="E19" s="12" t="s">
        <v>6</v>
      </c>
      <c r="F19" s="12" t="s">
        <v>6</v>
      </c>
      <c r="G19" s="12"/>
      <c r="H19" s="32">
        <f>SUM(H20:H21)</f>
        <v>0</v>
      </c>
      <c r="I19" s="32">
        <f>SUM(I20:I21)</f>
        <v>0</v>
      </c>
      <c r="J19" s="32">
        <f>SUM(J20:J21)</f>
        <v>0</v>
      </c>
      <c r="K19" s="22"/>
      <c r="L19" s="32">
        <f>SUM(L20:L21)</f>
        <v>0.005006</v>
      </c>
      <c r="M19" s="276"/>
      <c r="N19" s="64"/>
      <c r="AE19" s="22"/>
      <c r="AO19" s="32">
        <f>SUM(AF20:AF21)</f>
        <v>0</v>
      </c>
      <c r="AP19" s="32">
        <f>SUM(AG20:AG21)</f>
        <v>0</v>
      </c>
      <c r="AQ19" s="32">
        <f>SUM(AH20:AH21)</f>
        <v>0</v>
      </c>
    </row>
    <row r="20" spans="1:60" ht="12.75">
      <c r="A20" s="273" t="s">
        <v>18</v>
      </c>
      <c r="B20" s="7"/>
      <c r="C20" s="7" t="s">
        <v>57</v>
      </c>
      <c r="D20" s="7" t="s">
        <v>105</v>
      </c>
      <c r="E20" s="7" t="s">
        <v>138</v>
      </c>
      <c r="F20" s="41">
        <v>0.8</v>
      </c>
      <c r="G20" s="14">
        <v>0</v>
      </c>
      <c r="H20" s="14">
        <f>F20*AK20</f>
        <v>0</v>
      </c>
      <c r="I20" s="14">
        <f>F20*AL20</f>
        <v>0</v>
      </c>
      <c r="J20" s="14">
        <f>F20*G20</f>
        <v>0</v>
      </c>
      <c r="K20" s="14">
        <v>0.00317</v>
      </c>
      <c r="L20" s="14">
        <f>F20*K20</f>
        <v>0.002536</v>
      </c>
      <c r="M20" s="274" t="s">
        <v>159</v>
      </c>
      <c r="N20" s="64"/>
      <c r="V20" s="27">
        <f>IF(AM20="5",BF20,0)</f>
        <v>0</v>
      </c>
      <c r="X20" s="27">
        <f>IF(AM20="1",BD20,0)</f>
        <v>0</v>
      </c>
      <c r="Y20" s="27">
        <f>IF(AM20="1",BE20,0)</f>
        <v>0</v>
      </c>
      <c r="Z20" s="27">
        <f>IF(AM20="7",BD20,0)</f>
        <v>0</v>
      </c>
      <c r="AA20" s="27">
        <f>IF(AM20="7",BE20,0)</f>
        <v>0</v>
      </c>
      <c r="AB20" s="27">
        <f>IF(AM20="2",BD20,0)</f>
        <v>0</v>
      </c>
      <c r="AC20" s="27">
        <f>IF(AM20="2",BE20,0)</f>
        <v>0</v>
      </c>
      <c r="AD20" s="27">
        <f>IF(AM20="0",BF20,0)</f>
        <v>0</v>
      </c>
      <c r="AE20" s="22"/>
      <c r="AF20" s="14">
        <f>IF(AJ20=0,J20,0)</f>
        <v>0</v>
      </c>
      <c r="AG20" s="14">
        <f>IF(AJ20=15,J20,0)</f>
        <v>0</v>
      </c>
      <c r="AH20" s="14">
        <f>IF(AJ20=21,J20,0)</f>
        <v>0</v>
      </c>
      <c r="AJ20" s="27">
        <v>21</v>
      </c>
      <c r="AK20" s="27">
        <f>G20*0.488976190476191</f>
        <v>0</v>
      </c>
      <c r="AL20" s="27">
        <f>G20*(1-0.488976190476191)</f>
        <v>0</v>
      </c>
      <c r="AM20" s="28" t="s">
        <v>13</v>
      </c>
      <c r="AR20" s="27">
        <f>AS20+AT20</f>
        <v>0</v>
      </c>
      <c r="AS20" s="27">
        <f>F20*AK20</f>
        <v>0</v>
      </c>
      <c r="AT20" s="27">
        <f>F20*AL20</f>
        <v>0</v>
      </c>
      <c r="AU20" s="29" t="s">
        <v>175</v>
      </c>
      <c r="AV20" s="29" t="s">
        <v>187</v>
      </c>
      <c r="AW20" s="22" t="s">
        <v>190</v>
      </c>
      <c r="AY20" s="27">
        <f>AS20+AT20</f>
        <v>0</v>
      </c>
      <c r="AZ20" s="27">
        <f>G20/(100-BA20)*100</f>
        <v>0</v>
      </c>
      <c r="BA20" s="27">
        <v>0</v>
      </c>
      <c r="BB20" s="27">
        <f>L20</f>
        <v>0.002536</v>
      </c>
      <c r="BD20" s="14">
        <f>F20*AK20</f>
        <v>0</v>
      </c>
      <c r="BE20" s="14">
        <f>F20*AL20</f>
        <v>0</v>
      </c>
      <c r="BF20" s="14">
        <f>F20*G20</f>
        <v>0</v>
      </c>
      <c r="BG20" s="14" t="s">
        <v>195</v>
      </c>
      <c r="BH20" s="27">
        <v>764</v>
      </c>
    </row>
    <row r="21" spans="1:60" ht="12.75">
      <c r="A21" s="273" t="s">
        <v>19</v>
      </c>
      <c r="B21" s="7"/>
      <c r="C21" s="7" t="s">
        <v>58</v>
      </c>
      <c r="D21" s="7" t="s">
        <v>106</v>
      </c>
      <c r="E21" s="7" t="s">
        <v>137</v>
      </c>
      <c r="F21" s="41">
        <v>1</v>
      </c>
      <c r="G21" s="14">
        <v>0</v>
      </c>
      <c r="H21" s="14">
        <f>F21*AK21</f>
        <v>0</v>
      </c>
      <c r="I21" s="14">
        <f>F21*AL21</f>
        <v>0</v>
      </c>
      <c r="J21" s="14">
        <f>F21*G21</f>
        <v>0</v>
      </c>
      <c r="K21" s="14">
        <v>0.00247</v>
      </c>
      <c r="L21" s="14">
        <f>F21*K21</f>
        <v>0.00247</v>
      </c>
      <c r="M21" s="274" t="s">
        <v>159</v>
      </c>
      <c r="N21" s="64"/>
      <c r="V21" s="27">
        <f>IF(AM21="5",BF21,0)</f>
        <v>0</v>
      </c>
      <c r="X21" s="27">
        <f>IF(AM21="1",BD21,0)</f>
        <v>0</v>
      </c>
      <c r="Y21" s="27">
        <f>IF(AM21="1",BE21,0)</f>
        <v>0</v>
      </c>
      <c r="Z21" s="27">
        <f>IF(AM21="7",BD21,0)</f>
        <v>0</v>
      </c>
      <c r="AA21" s="27">
        <f>IF(AM21="7",BE21,0)</f>
        <v>0</v>
      </c>
      <c r="AB21" s="27">
        <f>IF(AM21="2",BD21,0)</f>
        <v>0</v>
      </c>
      <c r="AC21" s="27">
        <f>IF(AM21="2",BE21,0)</f>
        <v>0</v>
      </c>
      <c r="AD21" s="27">
        <f>IF(AM21="0",BF21,0)</f>
        <v>0</v>
      </c>
      <c r="AE21" s="22"/>
      <c r="AF21" s="14">
        <f>IF(AJ21=0,J21,0)</f>
        <v>0</v>
      </c>
      <c r="AG21" s="14">
        <f>IF(AJ21=15,J21,0)</f>
        <v>0</v>
      </c>
      <c r="AH21" s="14">
        <f>IF(AJ21=21,J21,0)</f>
        <v>0</v>
      </c>
      <c r="AJ21" s="27">
        <v>21</v>
      </c>
      <c r="AK21" s="27">
        <f>G21*0.205724137931034</f>
        <v>0</v>
      </c>
      <c r="AL21" s="27">
        <f>G21*(1-0.205724137931034)</f>
        <v>0</v>
      </c>
      <c r="AM21" s="28" t="s">
        <v>13</v>
      </c>
      <c r="AR21" s="27">
        <f>AS21+AT21</f>
        <v>0</v>
      </c>
      <c r="AS21" s="27">
        <f>F21*AK21</f>
        <v>0</v>
      </c>
      <c r="AT21" s="27">
        <f>F21*AL21</f>
        <v>0</v>
      </c>
      <c r="AU21" s="29" t="s">
        <v>175</v>
      </c>
      <c r="AV21" s="29" t="s">
        <v>187</v>
      </c>
      <c r="AW21" s="22" t="s">
        <v>190</v>
      </c>
      <c r="AY21" s="27">
        <f>AS21+AT21</f>
        <v>0</v>
      </c>
      <c r="AZ21" s="27">
        <f>G21/(100-BA21)*100</f>
        <v>0</v>
      </c>
      <c r="BA21" s="27">
        <v>0</v>
      </c>
      <c r="BB21" s="27">
        <f>L21</f>
        <v>0.00247</v>
      </c>
      <c r="BD21" s="14">
        <f>F21*AK21</f>
        <v>0</v>
      </c>
      <c r="BE21" s="14">
        <f>F21*AL21</f>
        <v>0</v>
      </c>
      <c r="BF21" s="14">
        <f>F21*G21</f>
        <v>0</v>
      </c>
      <c r="BG21" s="14" t="s">
        <v>195</v>
      </c>
      <c r="BH21" s="27">
        <v>764</v>
      </c>
    </row>
    <row r="22" spans="1:43" ht="12.75">
      <c r="A22" s="275"/>
      <c r="B22" s="8"/>
      <c r="C22" s="8" t="s">
        <v>59</v>
      </c>
      <c r="D22" s="8" t="s">
        <v>107</v>
      </c>
      <c r="E22" s="12" t="s">
        <v>6</v>
      </c>
      <c r="F22" s="12" t="s">
        <v>6</v>
      </c>
      <c r="G22" s="12"/>
      <c r="H22" s="32">
        <f>SUM(H23:H25)</f>
        <v>0</v>
      </c>
      <c r="I22" s="32">
        <f>SUM(I23:I25)</f>
        <v>0</v>
      </c>
      <c r="J22" s="32">
        <f>SUM(J23:J25)</f>
        <v>0</v>
      </c>
      <c r="K22" s="22"/>
      <c r="L22" s="32">
        <f>SUM(L23:L25)</f>
        <v>0.051879999999999996</v>
      </c>
      <c r="M22" s="276"/>
      <c r="N22" s="64"/>
      <c r="AE22" s="22"/>
      <c r="AO22" s="32">
        <f>SUM(AF23:AF25)</f>
        <v>0</v>
      </c>
      <c r="AP22" s="32">
        <f>SUM(AG23:AG25)</f>
        <v>0</v>
      </c>
      <c r="AQ22" s="32">
        <f>SUM(AH23:AH25)</f>
        <v>0</v>
      </c>
    </row>
    <row r="23" spans="1:60" ht="12.75">
      <c r="A23" s="273" t="s">
        <v>20</v>
      </c>
      <c r="B23" s="7"/>
      <c r="C23" s="7" t="s">
        <v>60</v>
      </c>
      <c r="D23" s="7" t="s">
        <v>108</v>
      </c>
      <c r="E23" s="7" t="s">
        <v>137</v>
      </c>
      <c r="F23" s="41">
        <v>1</v>
      </c>
      <c r="G23" s="14">
        <v>0</v>
      </c>
      <c r="H23" s="14">
        <f>F23*AK23</f>
        <v>0</v>
      </c>
      <c r="I23" s="14">
        <f>F23*AL23</f>
        <v>0</v>
      </c>
      <c r="J23" s="14">
        <f>F23*G23</f>
        <v>0</v>
      </c>
      <c r="K23" s="14">
        <v>0.0252</v>
      </c>
      <c r="L23" s="14">
        <f>F23*K23</f>
        <v>0.0252</v>
      </c>
      <c r="M23" s="274" t="s">
        <v>159</v>
      </c>
      <c r="N23" s="64"/>
      <c r="V23" s="27">
        <f>IF(AM23="5",BF23,0)</f>
        <v>0</v>
      </c>
      <c r="X23" s="27">
        <f>IF(AM23="1",BD23,0)</f>
        <v>0</v>
      </c>
      <c r="Y23" s="27">
        <f>IF(AM23="1",BE23,0)</f>
        <v>0</v>
      </c>
      <c r="Z23" s="27">
        <f>IF(AM23="7",BD23,0)</f>
        <v>0</v>
      </c>
      <c r="AA23" s="27">
        <f>IF(AM23="7",BE23,0)</f>
        <v>0</v>
      </c>
      <c r="AB23" s="27">
        <f>IF(AM23="2",BD23,0)</f>
        <v>0</v>
      </c>
      <c r="AC23" s="27">
        <f>IF(AM23="2",BE23,0)</f>
        <v>0</v>
      </c>
      <c r="AD23" s="27">
        <f>IF(AM23="0",BF23,0)</f>
        <v>0</v>
      </c>
      <c r="AE23" s="22"/>
      <c r="AF23" s="14">
        <f>IF(AJ23=0,J23,0)</f>
        <v>0</v>
      </c>
      <c r="AG23" s="14">
        <f>IF(AJ23=15,J23,0)</f>
        <v>0</v>
      </c>
      <c r="AH23" s="14">
        <f>IF(AJ23=21,J23,0)</f>
        <v>0</v>
      </c>
      <c r="AJ23" s="27">
        <v>21</v>
      </c>
      <c r="AK23" s="27">
        <f>G23*0.866316586151369</f>
        <v>0</v>
      </c>
      <c r="AL23" s="27">
        <f>G23*(1-0.866316586151369)</f>
        <v>0</v>
      </c>
      <c r="AM23" s="28" t="s">
        <v>13</v>
      </c>
      <c r="AR23" s="27">
        <f>AS23+AT23</f>
        <v>0</v>
      </c>
      <c r="AS23" s="27">
        <f>F23*AK23</f>
        <v>0</v>
      </c>
      <c r="AT23" s="27">
        <f>F23*AL23</f>
        <v>0</v>
      </c>
      <c r="AU23" s="29" t="s">
        <v>176</v>
      </c>
      <c r="AV23" s="29" t="s">
        <v>187</v>
      </c>
      <c r="AW23" s="22" t="s">
        <v>190</v>
      </c>
      <c r="AY23" s="27">
        <f>AS23+AT23</f>
        <v>0</v>
      </c>
      <c r="AZ23" s="27">
        <f>G23/(100-BA23)*100</f>
        <v>0</v>
      </c>
      <c r="BA23" s="27">
        <v>0</v>
      </c>
      <c r="BB23" s="27">
        <f>L23</f>
        <v>0.0252</v>
      </c>
      <c r="BD23" s="14">
        <f>F23*AK23</f>
        <v>0</v>
      </c>
      <c r="BE23" s="14">
        <f>F23*AL23</f>
        <v>0</v>
      </c>
      <c r="BF23" s="14">
        <f>F23*G23</f>
        <v>0</v>
      </c>
      <c r="BG23" s="14" t="s">
        <v>195</v>
      </c>
      <c r="BH23" s="27">
        <v>767</v>
      </c>
    </row>
    <row r="24" spans="1:60" ht="12.75">
      <c r="A24" s="273" t="s">
        <v>21</v>
      </c>
      <c r="B24" s="7"/>
      <c r="C24" s="7" t="s">
        <v>61</v>
      </c>
      <c r="D24" s="7" t="s">
        <v>109</v>
      </c>
      <c r="E24" s="7" t="s">
        <v>137</v>
      </c>
      <c r="F24" s="41">
        <v>1</v>
      </c>
      <c r="G24" s="14">
        <v>0</v>
      </c>
      <c r="H24" s="14">
        <f>F24*AK24</f>
        <v>0</v>
      </c>
      <c r="I24" s="14">
        <f>F24*AL24</f>
        <v>0</v>
      </c>
      <c r="J24" s="14">
        <f>F24*G24</f>
        <v>0</v>
      </c>
      <c r="K24" s="14">
        <v>0.02625</v>
      </c>
      <c r="L24" s="14">
        <f>F24*K24</f>
        <v>0.02625</v>
      </c>
      <c r="M24" s="274" t="s">
        <v>159</v>
      </c>
      <c r="N24" s="64"/>
      <c r="V24" s="27">
        <f>IF(AM24="5",BF24,0)</f>
        <v>0</v>
      </c>
      <c r="X24" s="27">
        <f>IF(AM24="1",BD24,0)</f>
        <v>0</v>
      </c>
      <c r="Y24" s="27">
        <f>IF(AM24="1",BE24,0)</f>
        <v>0</v>
      </c>
      <c r="Z24" s="27">
        <f>IF(AM24="7",BD24,0)</f>
        <v>0</v>
      </c>
      <c r="AA24" s="27">
        <f>IF(AM24="7",BE24,0)</f>
        <v>0</v>
      </c>
      <c r="AB24" s="27">
        <f>IF(AM24="2",BD24,0)</f>
        <v>0</v>
      </c>
      <c r="AC24" s="27">
        <f>IF(AM24="2",BE24,0)</f>
        <v>0</v>
      </c>
      <c r="AD24" s="27">
        <f>IF(AM24="0",BF24,0)</f>
        <v>0</v>
      </c>
      <c r="AE24" s="22"/>
      <c r="AF24" s="14">
        <f>IF(AJ24=0,J24,0)</f>
        <v>0</v>
      </c>
      <c r="AG24" s="14">
        <f>IF(AJ24=15,J24,0)</f>
        <v>0</v>
      </c>
      <c r="AH24" s="14">
        <f>IF(AJ24=21,J24,0)</f>
        <v>0</v>
      </c>
      <c r="AJ24" s="27">
        <v>21</v>
      </c>
      <c r="AK24" s="27">
        <f>G24*0.895539211735311</f>
        <v>0</v>
      </c>
      <c r="AL24" s="27">
        <f>G24*(1-0.895539211735311)</f>
        <v>0</v>
      </c>
      <c r="AM24" s="28" t="s">
        <v>13</v>
      </c>
      <c r="AR24" s="27">
        <f>AS24+AT24</f>
        <v>0</v>
      </c>
      <c r="AS24" s="27">
        <f>F24*AK24</f>
        <v>0</v>
      </c>
      <c r="AT24" s="27">
        <f>F24*AL24</f>
        <v>0</v>
      </c>
      <c r="AU24" s="29" t="s">
        <v>176</v>
      </c>
      <c r="AV24" s="29" t="s">
        <v>187</v>
      </c>
      <c r="AW24" s="22" t="s">
        <v>190</v>
      </c>
      <c r="AY24" s="27">
        <f>AS24+AT24</f>
        <v>0</v>
      </c>
      <c r="AZ24" s="27">
        <f>G24/(100-BA24)*100</f>
        <v>0</v>
      </c>
      <c r="BA24" s="27">
        <v>0</v>
      </c>
      <c r="BB24" s="27">
        <f>L24</f>
        <v>0.02625</v>
      </c>
      <c r="BD24" s="14">
        <f>F24*AK24</f>
        <v>0</v>
      </c>
      <c r="BE24" s="14">
        <f>F24*AL24</f>
        <v>0</v>
      </c>
      <c r="BF24" s="14">
        <f>F24*G24</f>
        <v>0</v>
      </c>
      <c r="BG24" s="14" t="s">
        <v>195</v>
      </c>
      <c r="BH24" s="27">
        <v>767</v>
      </c>
    </row>
    <row r="25" spans="1:60" ht="12.75">
      <c r="A25" s="273" t="s">
        <v>22</v>
      </c>
      <c r="B25" s="7"/>
      <c r="C25" s="7" t="s">
        <v>62</v>
      </c>
      <c r="D25" s="7" t="s">
        <v>110</v>
      </c>
      <c r="E25" s="7" t="s">
        <v>139</v>
      </c>
      <c r="F25" s="41">
        <v>1</v>
      </c>
      <c r="G25" s="14">
        <v>0</v>
      </c>
      <c r="H25" s="14">
        <f>F25*AK25</f>
        <v>0</v>
      </c>
      <c r="I25" s="14">
        <f>F25*AL25</f>
        <v>0</v>
      </c>
      <c r="J25" s="14">
        <f>F25*G25</f>
        <v>0</v>
      </c>
      <c r="K25" s="14">
        <v>0.00043</v>
      </c>
      <c r="L25" s="14">
        <f>F25*K25</f>
        <v>0.00043</v>
      </c>
      <c r="M25" s="274" t="s">
        <v>159</v>
      </c>
      <c r="N25" s="64"/>
      <c r="V25" s="27">
        <f>IF(AM25="5",BF25,0)</f>
        <v>0</v>
      </c>
      <c r="X25" s="27">
        <f>IF(AM25="1",BD25,0)</f>
        <v>0</v>
      </c>
      <c r="Y25" s="27">
        <f>IF(AM25="1",BE25,0)</f>
        <v>0</v>
      </c>
      <c r="Z25" s="27">
        <f>IF(AM25="7",BD25,0)</f>
        <v>0</v>
      </c>
      <c r="AA25" s="27">
        <f>IF(AM25="7",BE25,0)</f>
        <v>0</v>
      </c>
      <c r="AB25" s="27">
        <f>IF(AM25="2",BD25,0)</f>
        <v>0</v>
      </c>
      <c r="AC25" s="27">
        <f>IF(AM25="2",BE25,0)</f>
        <v>0</v>
      </c>
      <c r="AD25" s="27">
        <f>IF(AM25="0",BF25,0)</f>
        <v>0</v>
      </c>
      <c r="AE25" s="22"/>
      <c r="AF25" s="14">
        <f>IF(AJ25=0,J25,0)</f>
        <v>0</v>
      </c>
      <c r="AG25" s="14">
        <f>IF(AJ25=15,J25,0)</f>
        <v>0</v>
      </c>
      <c r="AH25" s="14">
        <f>IF(AJ25=21,J25,0)</f>
        <v>0</v>
      </c>
      <c r="AJ25" s="27">
        <v>21</v>
      </c>
      <c r="AK25" s="27">
        <f>G25*0.0404552879581152</f>
        <v>0</v>
      </c>
      <c r="AL25" s="27">
        <f>G25*(1-0.0404552879581152)</f>
        <v>0</v>
      </c>
      <c r="AM25" s="28" t="s">
        <v>13</v>
      </c>
      <c r="AR25" s="27">
        <f>AS25+AT25</f>
        <v>0</v>
      </c>
      <c r="AS25" s="27">
        <f>F25*AK25</f>
        <v>0</v>
      </c>
      <c r="AT25" s="27">
        <f>F25*AL25</f>
        <v>0</v>
      </c>
      <c r="AU25" s="29" t="s">
        <v>176</v>
      </c>
      <c r="AV25" s="29" t="s">
        <v>187</v>
      </c>
      <c r="AW25" s="22" t="s">
        <v>190</v>
      </c>
      <c r="AY25" s="27">
        <f>AS25+AT25</f>
        <v>0</v>
      </c>
      <c r="AZ25" s="27">
        <f>G25/(100-BA25)*100</f>
        <v>0</v>
      </c>
      <c r="BA25" s="27">
        <v>0</v>
      </c>
      <c r="BB25" s="27">
        <f>L25</f>
        <v>0.00043</v>
      </c>
      <c r="BD25" s="14">
        <f>F25*AK25</f>
        <v>0</v>
      </c>
      <c r="BE25" s="14">
        <f>F25*AL25</f>
        <v>0</v>
      </c>
      <c r="BF25" s="14">
        <f>F25*G25</f>
        <v>0</v>
      </c>
      <c r="BG25" s="14" t="s">
        <v>195</v>
      </c>
      <c r="BH25" s="27">
        <v>767</v>
      </c>
    </row>
    <row r="26" spans="1:43" ht="12.75">
      <c r="A26" s="275"/>
      <c r="B26" s="8"/>
      <c r="C26" s="8" t="s">
        <v>63</v>
      </c>
      <c r="D26" s="8" t="s">
        <v>111</v>
      </c>
      <c r="E26" s="12" t="s">
        <v>6</v>
      </c>
      <c r="F26" s="12" t="s">
        <v>6</v>
      </c>
      <c r="G26" s="12"/>
      <c r="H26" s="32">
        <f>SUM(H27:H29)</f>
        <v>0</v>
      </c>
      <c r="I26" s="32">
        <f>SUM(I27:I29)</f>
        <v>0</v>
      </c>
      <c r="J26" s="32">
        <f>SUM(J27:J29)</f>
        <v>0</v>
      </c>
      <c r="K26" s="22"/>
      <c r="L26" s="32">
        <f>SUM(L27:L29)</f>
        <v>0.034527</v>
      </c>
      <c r="M26" s="276"/>
      <c r="N26" s="64"/>
      <c r="AE26" s="22"/>
      <c r="AO26" s="32">
        <f>SUM(AF27:AF29)</f>
        <v>0</v>
      </c>
      <c r="AP26" s="32">
        <f>SUM(AG27:AG29)</f>
        <v>0</v>
      </c>
      <c r="AQ26" s="32">
        <f>SUM(AH27:AH29)</f>
        <v>0</v>
      </c>
    </row>
    <row r="27" spans="1:60" ht="12.75">
      <c r="A27" s="273" t="s">
        <v>23</v>
      </c>
      <c r="B27" s="7"/>
      <c r="C27" s="7" t="s">
        <v>64</v>
      </c>
      <c r="D27" s="7" t="s">
        <v>112</v>
      </c>
      <c r="E27" s="7" t="s">
        <v>136</v>
      </c>
      <c r="F27" s="41">
        <v>10.1</v>
      </c>
      <c r="G27" s="14">
        <v>0</v>
      </c>
      <c r="H27" s="14">
        <f>F27*AK27</f>
        <v>0</v>
      </c>
      <c r="I27" s="14">
        <f>F27*AL27</f>
        <v>0</v>
      </c>
      <c r="J27" s="14">
        <f>F27*G27</f>
        <v>0</v>
      </c>
      <c r="K27" s="14">
        <v>0</v>
      </c>
      <c r="L27" s="14">
        <f>F27*K27</f>
        <v>0</v>
      </c>
      <c r="M27" s="274" t="s">
        <v>159</v>
      </c>
      <c r="N27" s="64"/>
      <c r="V27" s="27">
        <f>IF(AM27="5",BF27,0)</f>
        <v>0</v>
      </c>
      <c r="X27" s="27">
        <f>IF(AM27="1",BD27,0)</f>
        <v>0</v>
      </c>
      <c r="Y27" s="27">
        <f>IF(AM27="1",BE27,0)</f>
        <v>0</v>
      </c>
      <c r="Z27" s="27">
        <f>IF(AM27="7",BD27,0)</f>
        <v>0</v>
      </c>
      <c r="AA27" s="27">
        <f>IF(AM27="7",BE27,0)</f>
        <v>0</v>
      </c>
      <c r="AB27" s="27">
        <f>IF(AM27="2",BD27,0)</f>
        <v>0</v>
      </c>
      <c r="AC27" s="27">
        <f>IF(AM27="2",BE27,0)</f>
        <v>0</v>
      </c>
      <c r="AD27" s="27">
        <f>IF(AM27="0",BF27,0)</f>
        <v>0</v>
      </c>
      <c r="AE27" s="22"/>
      <c r="AF27" s="14">
        <f>IF(AJ27=0,J27,0)</f>
        <v>0</v>
      </c>
      <c r="AG27" s="14">
        <f>IF(AJ27=15,J27,0)</f>
        <v>0</v>
      </c>
      <c r="AH27" s="14">
        <f>IF(AJ27=21,J27,0)</f>
        <v>0</v>
      </c>
      <c r="AJ27" s="27">
        <v>21</v>
      </c>
      <c r="AK27" s="27">
        <f>G27*0.00274307441607822</f>
        <v>0</v>
      </c>
      <c r="AL27" s="27">
        <f>G27*(1-0.00274307441607822)</f>
        <v>0</v>
      </c>
      <c r="AM27" s="28" t="s">
        <v>13</v>
      </c>
      <c r="AR27" s="27">
        <f>AS27+AT27</f>
        <v>0</v>
      </c>
      <c r="AS27" s="27">
        <f>F27*AK27</f>
        <v>0</v>
      </c>
      <c r="AT27" s="27">
        <f>F27*AL27</f>
        <v>0</v>
      </c>
      <c r="AU27" s="29" t="s">
        <v>177</v>
      </c>
      <c r="AV27" s="29" t="s">
        <v>188</v>
      </c>
      <c r="AW27" s="22" t="s">
        <v>190</v>
      </c>
      <c r="AY27" s="27">
        <f>AS27+AT27</f>
        <v>0</v>
      </c>
      <c r="AZ27" s="27">
        <f>G27/(100-BA27)*100</f>
        <v>0</v>
      </c>
      <c r="BA27" s="27">
        <v>0</v>
      </c>
      <c r="BB27" s="27">
        <f>L27</f>
        <v>0</v>
      </c>
      <c r="BD27" s="14">
        <f>F27*AK27</f>
        <v>0</v>
      </c>
      <c r="BE27" s="14">
        <f>F27*AL27</f>
        <v>0</v>
      </c>
      <c r="BF27" s="14">
        <f>F27*G27</f>
        <v>0</v>
      </c>
      <c r="BG27" s="14" t="s">
        <v>195</v>
      </c>
      <c r="BH27" s="27">
        <v>784</v>
      </c>
    </row>
    <row r="28" spans="1:60" ht="12.75">
      <c r="A28" s="273" t="s">
        <v>24</v>
      </c>
      <c r="B28" s="7"/>
      <c r="C28" s="7" t="s">
        <v>65</v>
      </c>
      <c r="D28" s="7" t="s">
        <v>113</v>
      </c>
      <c r="E28" s="7" t="s">
        <v>136</v>
      </c>
      <c r="F28" s="41">
        <v>67.7</v>
      </c>
      <c r="G28" s="14">
        <v>0</v>
      </c>
      <c r="H28" s="14">
        <f>F28*AK28</f>
        <v>0</v>
      </c>
      <c r="I28" s="14">
        <f>F28*AL28</f>
        <v>0</v>
      </c>
      <c r="J28" s="14">
        <f>F28*G28</f>
        <v>0</v>
      </c>
      <c r="K28" s="14">
        <v>0.00015</v>
      </c>
      <c r="L28" s="14">
        <f>F28*K28</f>
        <v>0.010154999999999999</v>
      </c>
      <c r="M28" s="274" t="s">
        <v>159</v>
      </c>
      <c r="N28" s="64"/>
      <c r="V28" s="27">
        <f>IF(AM28="5",BF28,0)</f>
        <v>0</v>
      </c>
      <c r="X28" s="27">
        <f>IF(AM28="1",BD28,0)</f>
        <v>0</v>
      </c>
      <c r="Y28" s="27">
        <f>IF(AM28="1",BE28,0)</f>
        <v>0</v>
      </c>
      <c r="Z28" s="27">
        <f>IF(AM28="7",BD28,0)</f>
        <v>0</v>
      </c>
      <c r="AA28" s="27">
        <f>IF(AM28="7",BE28,0)</f>
        <v>0</v>
      </c>
      <c r="AB28" s="27">
        <f>IF(AM28="2",BD28,0)</f>
        <v>0</v>
      </c>
      <c r="AC28" s="27">
        <f>IF(AM28="2",BE28,0)</f>
        <v>0</v>
      </c>
      <c r="AD28" s="27">
        <f>IF(AM28="0",BF28,0)</f>
        <v>0</v>
      </c>
      <c r="AE28" s="22"/>
      <c r="AF28" s="14">
        <f>IF(AJ28=0,J28,0)</f>
        <v>0</v>
      </c>
      <c r="AG28" s="14">
        <f>IF(AJ28=15,J28,0)</f>
        <v>0</v>
      </c>
      <c r="AH28" s="14">
        <f>IF(AJ28=21,J28,0)</f>
        <v>0</v>
      </c>
      <c r="AJ28" s="27">
        <v>21</v>
      </c>
      <c r="AK28" s="27">
        <f>G28*0.295982142857143</f>
        <v>0</v>
      </c>
      <c r="AL28" s="27">
        <f>G28*(1-0.295982142857143)</f>
        <v>0</v>
      </c>
      <c r="AM28" s="28" t="s">
        <v>13</v>
      </c>
      <c r="AR28" s="27">
        <f>AS28+AT28</f>
        <v>0</v>
      </c>
      <c r="AS28" s="27">
        <f>F28*AK28</f>
        <v>0</v>
      </c>
      <c r="AT28" s="27">
        <f>F28*AL28</f>
        <v>0</v>
      </c>
      <c r="AU28" s="29" t="s">
        <v>177</v>
      </c>
      <c r="AV28" s="29" t="s">
        <v>188</v>
      </c>
      <c r="AW28" s="22" t="s">
        <v>190</v>
      </c>
      <c r="AY28" s="27">
        <f>AS28+AT28</f>
        <v>0</v>
      </c>
      <c r="AZ28" s="27">
        <f>G28/(100-BA28)*100</f>
        <v>0</v>
      </c>
      <c r="BA28" s="27">
        <v>0</v>
      </c>
      <c r="BB28" s="27">
        <f>L28</f>
        <v>0.010154999999999999</v>
      </c>
      <c r="BD28" s="14">
        <f>F28*AK28</f>
        <v>0</v>
      </c>
      <c r="BE28" s="14">
        <f>F28*AL28</f>
        <v>0</v>
      </c>
      <c r="BF28" s="14">
        <f>F28*G28</f>
        <v>0</v>
      </c>
      <c r="BG28" s="14" t="s">
        <v>195</v>
      </c>
      <c r="BH28" s="27">
        <v>784</v>
      </c>
    </row>
    <row r="29" spans="1:60" ht="12.75">
      <c r="A29" s="273" t="s">
        <v>25</v>
      </c>
      <c r="B29" s="7"/>
      <c r="C29" s="7" t="s">
        <v>66</v>
      </c>
      <c r="D29" s="7" t="s">
        <v>114</v>
      </c>
      <c r="E29" s="7" t="s">
        <v>136</v>
      </c>
      <c r="F29" s="41">
        <v>67.7</v>
      </c>
      <c r="G29" s="14">
        <v>0</v>
      </c>
      <c r="H29" s="14">
        <f>F29*AK29</f>
        <v>0</v>
      </c>
      <c r="I29" s="14">
        <f>F29*AL29</f>
        <v>0</v>
      </c>
      <c r="J29" s="14">
        <f>F29*G29</f>
        <v>0</v>
      </c>
      <c r="K29" s="14">
        <v>0.00036</v>
      </c>
      <c r="L29" s="14">
        <f>F29*K29</f>
        <v>0.024372</v>
      </c>
      <c r="M29" s="274" t="s">
        <v>160</v>
      </c>
      <c r="N29" s="64"/>
      <c r="V29" s="27">
        <f>IF(AM29="5",BF29,0)</f>
        <v>0</v>
      </c>
      <c r="X29" s="27">
        <f>IF(AM29="1",BD29,0)</f>
        <v>0</v>
      </c>
      <c r="Y29" s="27">
        <f>IF(AM29="1",BE29,0)</f>
        <v>0</v>
      </c>
      <c r="Z29" s="27">
        <f>IF(AM29="7",BD29,0)</f>
        <v>0</v>
      </c>
      <c r="AA29" s="27">
        <f>IF(AM29="7",BE29,0)</f>
        <v>0</v>
      </c>
      <c r="AB29" s="27">
        <f>IF(AM29="2",BD29,0)</f>
        <v>0</v>
      </c>
      <c r="AC29" s="27">
        <f>IF(AM29="2",BE29,0)</f>
        <v>0</v>
      </c>
      <c r="AD29" s="27">
        <f>IF(AM29="0",BF29,0)</f>
        <v>0</v>
      </c>
      <c r="AE29" s="22"/>
      <c r="AF29" s="14">
        <f>IF(AJ29=0,J29,0)</f>
        <v>0</v>
      </c>
      <c r="AG29" s="14">
        <f>IF(AJ29=15,J29,0)</f>
        <v>0</v>
      </c>
      <c r="AH29" s="14">
        <f>IF(AJ29=21,J29,0)</f>
        <v>0</v>
      </c>
      <c r="AJ29" s="27">
        <v>21</v>
      </c>
      <c r="AK29" s="27">
        <f>G29*0.300441176470588</f>
        <v>0</v>
      </c>
      <c r="AL29" s="27">
        <f>G29*(1-0.300441176470588)</f>
        <v>0</v>
      </c>
      <c r="AM29" s="28" t="s">
        <v>13</v>
      </c>
      <c r="AR29" s="27">
        <f>AS29+AT29</f>
        <v>0</v>
      </c>
      <c r="AS29" s="27">
        <f>F29*AK29</f>
        <v>0</v>
      </c>
      <c r="AT29" s="27">
        <f>F29*AL29</f>
        <v>0</v>
      </c>
      <c r="AU29" s="29" t="s">
        <v>177</v>
      </c>
      <c r="AV29" s="29" t="s">
        <v>188</v>
      </c>
      <c r="AW29" s="22" t="s">
        <v>190</v>
      </c>
      <c r="AY29" s="27">
        <f>AS29+AT29</f>
        <v>0</v>
      </c>
      <c r="AZ29" s="27">
        <f>G29/(100-BA29)*100</f>
        <v>0</v>
      </c>
      <c r="BA29" s="27">
        <v>0</v>
      </c>
      <c r="BB29" s="27">
        <f>L29</f>
        <v>0.024372</v>
      </c>
      <c r="BD29" s="14">
        <f>F29*AK29</f>
        <v>0</v>
      </c>
      <c r="BE29" s="14">
        <f>F29*AL29</f>
        <v>0</v>
      </c>
      <c r="BF29" s="14">
        <f>F29*G29</f>
        <v>0</v>
      </c>
      <c r="BG29" s="14" t="s">
        <v>195</v>
      </c>
      <c r="BH29" s="27">
        <v>784</v>
      </c>
    </row>
    <row r="30" spans="1:43" ht="12.75">
      <c r="A30" s="275"/>
      <c r="B30" s="8"/>
      <c r="C30" s="8" t="s">
        <v>67</v>
      </c>
      <c r="D30" s="8" t="s">
        <v>115</v>
      </c>
      <c r="E30" s="12" t="s">
        <v>6</v>
      </c>
      <c r="F30" s="12" t="s">
        <v>6</v>
      </c>
      <c r="G30" s="12"/>
      <c r="H30" s="32">
        <f>SUM(H31:H32)</f>
        <v>0</v>
      </c>
      <c r="I30" s="32">
        <f>SUM(I31:I32)</f>
        <v>0</v>
      </c>
      <c r="J30" s="32">
        <f>SUM(J31:J32)</f>
        <v>0</v>
      </c>
      <c r="K30" s="22"/>
      <c r="L30" s="32">
        <f>SUM(L31:L32)</f>
        <v>0</v>
      </c>
      <c r="M30" s="276"/>
      <c r="N30" s="64"/>
      <c r="AE30" s="22"/>
      <c r="AO30" s="32">
        <f>SUM(AF31:AF32)</f>
        <v>0</v>
      </c>
      <c r="AP30" s="32">
        <f>SUM(AG31:AG32)</f>
        <v>0</v>
      </c>
      <c r="AQ30" s="32">
        <f>SUM(AH31:AH32)</f>
        <v>0</v>
      </c>
    </row>
    <row r="31" spans="1:60" ht="12.75">
      <c r="A31" s="273" t="s">
        <v>26</v>
      </c>
      <c r="B31" s="7"/>
      <c r="C31" s="7" t="s">
        <v>68</v>
      </c>
      <c r="D31" s="7" t="s">
        <v>116</v>
      </c>
      <c r="E31" s="7" t="s">
        <v>140</v>
      </c>
      <c r="F31" s="41">
        <v>6</v>
      </c>
      <c r="G31" s="14">
        <v>0</v>
      </c>
      <c r="H31" s="14">
        <f>F31*AK31</f>
        <v>0</v>
      </c>
      <c r="I31" s="14">
        <f>F31*AL31</f>
        <v>0</v>
      </c>
      <c r="J31" s="14">
        <f>F31*G31</f>
        <v>0</v>
      </c>
      <c r="K31" s="14">
        <v>0</v>
      </c>
      <c r="L31" s="14">
        <f>F31*K31</f>
        <v>0</v>
      </c>
      <c r="M31" s="274" t="s">
        <v>160</v>
      </c>
      <c r="N31" s="64"/>
      <c r="V31" s="27">
        <f>IF(AM31="5",BF31,0)</f>
        <v>0</v>
      </c>
      <c r="X31" s="27">
        <f>IF(AM31="1",BD31,0)</f>
        <v>0</v>
      </c>
      <c r="Y31" s="27">
        <f>IF(AM31="1",BE31,0)</f>
        <v>0</v>
      </c>
      <c r="Z31" s="27">
        <f>IF(AM31="7",BD31,0)</f>
        <v>0</v>
      </c>
      <c r="AA31" s="27">
        <f>IF(AM31="7",BE31,0)</f>
        <v>0</v>
      </c>
      <c r="AB31" s="27">
        <f>IF(AM31="2",BD31,0)</f>
        <v>0</v>
      </c>
      <c r="AC31" s="27">
        <f>IF(AM31="2",BE31,0)</f>
        <v>0</v>
      </c>
      <c r="AD31" s="27">
        <f>IF(AM31="0",BF31,0)</f>
        <v>0</v>
      </c>
      <c r="AE31" s="22"/>
      <c r="AF31" s="14">
        <f>IF(AJ31=0,J31,0)</f>
        <v>0</v>
      </c>
      <c r="AG31" s="14">
        <f>IF(AJ31=15,J31,0)</f>
        <v>0</v>
      </c>
      <c r="AH31" s="14">
        <f>IF(AJ31=21,J31,0)</f>
        <v>0</v>
      </c>
      <c r="AJ31" s="27">
        <v>21</v>
      </c>
      <c r="AK31" s="27">
        <f>G31*0</f>
        <v>0</v>
      </c>
      <c r="AL31" s="27">
        <f>G31*(1-0)</f>
        <v>0</v>
      </c>
      <c r="AM31" s="28" t="s">
        <v>7</v>
      </c>
      <c r="AR31" s="27">
        <f>AS31+AT31</f>
        <v>0</v>
      </c>
      <c r="AS31" s="27">
        <f>F31*AK31</f>
        <v>0</v>
      </c>
      <c r="AT31" s="27">
        <f>F31*AL31</f>
        <v>0</v>
      </c>
      <c r="AU31" s="29" t="s">
        <v>178</v>
      </c>
      <c r="AV31" s="29" t="s">
        <v>189</v>
      </c>
      <c r="AW31" s="22" t="s">
        <v>190</v>
      </c>
      <c r="AY31" s="27">
        <f>AS31+AT31</f>
        <v>0</v>
      </c>
      <c r="AZ31" s="27">
        <f>G31/(100-BA31)*100</f>
        <v>0</v>
      </c>
      <c r="BA31" s="27">
        <v>0</v>
      </c>
      <c r="BB31" s="27">
        <f>L31</f>
        <v>0</v>
      </c>
      <c r="BD31" s="14">
        <f>F31*AK31</f>
        <v>0</v>
      </c>
      <c r="BE31" s="14">
        <f>F31*AL31</f>
        <v>0</v>
      </c>
      <c r="BF31" s="14">
        <f>F31*G31</f>
        <v>0</v>
      </c>
      <c r="BG31" s="14" t="s">
        <v>195</v>
      </c>
      <c r="BH31" s="27">
        <v>90</v>
      </c>
    </row>
    <row r="32" spans="1:60" ht="12.75">
      <c r="A32" s="273" t="s">
        <v>27</v>
      </c>
      <c r="B32" s="7"/>
      <c r="C32" s="7" t="s">
        <v>69</v>
      </c>
      <c r="D32" s="7" t="s">
        <v>117</v>
      </c>
      <c r="E32" s="7" t="s">
        <v>137</v>
      </c>
      <c r="F32" s="41">
        <v>1</v>
      </c>
      <c r="G32" s="14">
        <v>0</v>
      </c>
      <c r="H32" s="14">
        <f>F32*AK32</f>
        <v>0</v>
      </c>
      <c r="I32" s="14">
        <f>F32*AL32</f>
        <v>0</v>
      </c>
      <c r="J32" s="14">
        <f>F32*G32</f>
        <v>0</v>
      </c>
      <c r="K32" s="14">
        <v>0</v>
      </c>
      <c r="L32" s="14">
        <f>F32*K32</f>
        <v>0</v>
      </c>
      <c r="M32" s="274" t="s">
        <v>159</v>
      </c>
      <c r="N32" s="64"/>
      <c r="V32" s="27">
        <f>IF(AM32="5",BF32,0)</f>
        <v>0</v>
      </c>
      <c r="X32" s="27">
        <f>IF(AM32="1",BD32,0)</f>
        <v>0</v>
      </c>
      <c r="Y32" s="27">
        <f>IF(AM32="1",BE32,0)</f>
        <v>0</v>
      </c>
      <c r="Z32" s="27">
        <f>IF(AM32="7",BD32,0)</f>
        <v>0</v>
      </c>
      <c r="AA32" s="27">
        <f>IF(AM32="7",BE32,0)</f>
        <v>0</v>
      </c>
      <c r="AB32" s="27">
        <f>IF(AM32="2",BD32,0)</f>
        <v>0</v>
      </c>
      <c r="AC32" s="27">
        <f>IF(AM32="2",BE32,0)</f>
        <v>0</v>
      </c>
      <c r="AD32" s="27">
        <f>IF(AM32="0",BF32,0)</f>
        <v>0</v>
      </c>
      <c r="AE32" s="22"/>
      <c r="AF32" s="14">
        <f>IF(AJ32=0,J32,0)</f>
        <v>0</v>
      </c>
      <c r="AG32" s="14">
        <f>IF(AJ32=15,J32,0)</f>
        <v>0</v>
      </c>
      <c r="AH32" s="14">
        <f>IF(AJ32=21,J32,0)</f>
        <v>0</v>
      </c>
      <c r="AJ32" s="27">
        <v>21</v>
      </c>
      <c r="AK32" s="27">
        <f>G32*0</f>
        <v>0</v>
      </c>
      <c r="AL32" s="27">
        <f>G32*(1-0)</f>
        <v>0</v>
      </c>
      <c r="AM32" s="28" t="s">
        <v>7</v>
      </c>
      <c r="AR32" s="27">
        <f>AS32+AT32</f>
        <v>0</v>
      </c>
      <c r="AS32" s="27">
        <f>F32*AK32</f>
        <v>0</v>
      </c>
      <c r="AT32" s="27">
        <f>F32*AL32</f>
        <v>0</v>
      </c>
      <c r="AU32" s="29" t="s">
        <v>178</v>
      </c>
      <c r="AV32" s="29" t="s">
        <v>189</v>
      </c>
      <c r="AW32" s="22" t="s">
        <v>190</v>
      </c>
      <c r="AY32" s="27">
        <f>AS32+AT32</f>
        <v>0</v>
      </c>
      <c r="AZ32" s="27">
        <f>G32/(100-BA32)*100</f>
        <v>0</v>
      </c>
      <c r="BA32" s="27">
        <v>0</v>
      </c>
      <c r="BB32" s="27">
        <f>L32</f>
        <v>0</v>
      </c>
      <c r="BD32" s="14">
        <f>F32*AK32</f>
        <v>0</v>
      </c>
      <c r="BE32" s="14">
        <f>F32*AL32</f>
        <v>0</v>
      </c>
      <c r="BF32" s="14">
        <f>F32*G32</f>
        <v>0</v>
      </c>
      <c r="BG32" s="14" t="s">
        <v>195</v>
      </c>
      <c r="BH32" s="27">
        <v>90</v>
      </c>
    </row>
    <row r="33" spans="1:43" ht="12.75">
      <c r="A33" s="275"/>
      <c r="B33" s="8"/>
      <c r="C33" s="8" t="s">
        <v>70</v>
      </c>
      <c r="D33" s="8" t="s">
        <v>118</v>
      </c>
      <c r="E33" s="12" t="s">
        <v>6</v>
      </c>
      <c r="F33" s="12" t="s">
        <v>6</v>
      </c>
      <c r="G33" s="12"/>
      <c r="H33" s="32">
        <f>SUM(H34:H34)</f>
        <v>0</v>
      </c>
      <c r="I33" s="32">
        <f>SUM(I34:I34)</f>
        <v>0</v>
      </c>
      <c r="J33" s="32">
        <f>SUM(J34:J34)</f>
        <v>0</v>
      </c>
      <c r="K33" s="22"/>
      <c r="L33" s="32">
        <f>SUM(L34:L34)</f>
        <v>0.0237</v>
      </c>
      <c r="M33" s="276"/>
      <c r="N33" s="64"/>
      <c r="AE33" s="22"/>
      <c r="AO33" s="32">
        <f>SUM(AF34:AF34)</f>
        <v>0</v>
      </c>
      <c r="AP33" s="32">
        <f>SUM(AG34:AG34)</f>
        <v>0</v>
      </c>
      <c r="AQ33" s="32">
        <f>SUM(AH34:AH34)</f>
        <v>0</v>
      </c>
    </row>
    <row r="34" spans="1:60" ht="12.75">
      <c r="A34" s="273" t="s">
        <v>28</v>
      </c>
      <c r="B34" s="7"/>
      <c r="C34" s="7" t="s">
        <v>71</v>
      </c>
      <c r="D34" s="7" t="s">
        <v>119</v>
      </c>
      <c r="E34" s="7" t="s">
        <v>136</v>
      </c>
      <c r="F34" s="41">
        <v>15</v>
      </c>
      <c r="G34" s="14">
        <v>0</v>
      </c>
      <c r="H34" s="14">
        <f>F34*AK34</f>
        <v>0</v>
      </c>
      <c r="I34" s="14">
        <f>F34*AL34</f>
        <v>0</v>
      </c>
      <c r="J34" s="14">
        <f>F34*G34</f>
        <v>0</v>
      </c>
      <c r="K34" s="14">
        <v>0.00158</v>
      </c>
      <c r="L34" s="14">
        <f>F34*K34</f>
        <v>0.0237</v>
      </c>
      <c r="M34" s="274" t="s">
        <v>159</v>
      </c>
      <c r="N34" s="64"/>
      <c r="V34" s="27">
        <f>IF(AM34="5",BF34,0)</f>
        <v>0</v>
      </c>
      <c r="X34" s="27">
        <f>IF(AM34="1",BD34,0)</f>
        <v>0</v>
      </c>
      <c r="Y34" s="27">
        <f>IF(AM34="1",BE34,0)</f>
        <v>0</v>
      </c>
      <c r="Z34" s="27">
        <f>IF(AM34="7",BD34,0)</f>
        <v>0</v>
      </c>
      <c r="AA34" s="27">
        <f>IF(AM34="7",BE34,0)</f>
        <v>0</v>
      </c>
      <c r="AB34" s="27">
        <f>IF(AM34="2",BD34,0)</f>
        <v>0</v>
      </c>
      <c r="AC34" s="27">
        <f>IF(AM34="2",BE34,0)</f>
        <v>0</v>
      </c>
      <c r="AD34" s="27">
        <f>IF(AM34="0",BF34,0)</f>
        <v>0</v>
      </c>
      <c r="AE34" s="22"/>
      <c r="AF34" s="14">
        <f>IF(AJ34=0,J34,0)</f>
        <v>0</v>
      </c>
      <c r="AG34" s="14">
        <f>IF(AJ34=15,J34,0)</f>
        <v>0</v>
      </c>
      <c r="AH34" s="14">
        <f>IF(AJ34=21,J34,0)</f>
        <v>0</v>
      </c>
      <c r="AJ34" s="27">
        <v>21</v>
      </c>
      <c r="AK34" s="27">
        <f>G34*0.347350427350427</f>
        <v>0</v>
      </c>
      <c r="AL34" s="27">
        <f>G34*(1-0.347350427350427)</f>
        <v>0</v>
      </c>
      <c r="AM34" s="28" t="s">
        <v>7</v>
      </c>
      <c r="AR34" s="27">
        <f>AS34+AT34</f>
        <v>0</v>
      </c>
      <c r="AS34" s="27">
        <f>F34*AK34</f>
        <v>0</v>
      </c>
      <c r="AT34" s="27">
        <f>F34*AL34</f>
        <v>0</v>
      </c>
      <c r="AU34" s="29" t="s">
        <v>179</v>
      </c>
      <c r="AV34" s="29" t="s">
        <v>189</v>
      </c>
      <c r="AW34" s="22" t="s">
        <v>190</v>
      </c>
      <c r="AY34" s="27">
        <f>AS34+AT34</f>
        <v>0</v>
      </c>
      <c r="AZ34" s="27">
        <f>G34/(100-BA34)*100</f>
        <v>0</v>
      </c>
      <c r="BA34" s="27">
        <v>0</v>
      </c>
      <c r="BB34" s="27">
        <f>L34</f>
        <v>0.0237</v>
      </c>
      <c r="BD34" s="14">
        <f>F34*AK34</f>
        <v>0</v>
      </c>
      <c r="BE34" s="14">
        <f>F34*AL34</f>
        <v>0</v>
      </c>
      <c r="BF34" s="14">
        <f>F34*G34</f>
        <v>0</v>
      </c>
      <c r="BG34" s="14" t="s">
        <v>195</v>
      </c>
      <c r="BH34" s="27">
        <v>94</v>
      </c>
    </row>
    <row r="35" spans="1:43" ht="12.75">
      <c r="A35" s="275"/>
      <c r="B35" s="8"/>
      <c r="C35" s="8" t="s">
        <v>72</v>
      </c>
      <c r="D35" s="8" t="s">
        <v>120</v>
      </c>
      <c r="E35" s="12" t="s">
        <v>6</v>
      </c>
      <c r="F35" s="12" t="s">
        <v>6</v>
      </c>
      <c r="G35" s="12"/>
      <c r="H35" s="32">
        <f>SUM(H36:H38)</f>
        <v>0</v>
      </c>
      <c r="I35" s="32">
        <f>SUM(I36:I38)</f>
        <v>0</v>
      </c>
      <c r="J35" s="32">
        <f>SUM(J36:J38)</f>
        <v>0</v>
      </c>
      <c r="K35" s="22"/>
      <c r="L35" s="32">
        <f>SUM(L36:L38)</f>
        <v>0.00064</v>
      </c>
      <c r="M35" s="276"/>
      <c r="N35" s="64"/>
      <c r="AE35" s="22"/>
      <c r="AO35" s="32">
        <f>SUM(AF36:AF38)</f>
        <v>0</v>
      </c>
      <c r="AP35" s="32">
        <f>SUM(AG36:AG38)</f>
        <v>0</v>
      </c>
      <c r="AQ35" s="32">
        <f>SUM(AH36:AH38)</f>
        <v>0</v>
      </c>
    </row>
    <row r="36" spans="1:60" ht="12.75">
      <c r="A36" s="273" t="s">
        <v>29</v>
      </c>
      <c r="B36" s="7"/>
      <c r="C36" s="7" t="s">
        <v>73</v>
      </c>
      <c r="D36" s="7" t="s">
        <v>121</v>
      </c>
      <c r="E36" s="7" t="s">
        <v>136</v>
      </c>
      <c r="F36" s="41">
        <v>15</v>
      </c>
      <c r="G36" s="14">
        <v>0</v>
      </c>
      <c r="H36" s="14">
        <f>F36*AK36</f>
        <v>0</v>
      </c>
      <c r="I36" s="14">
        <f>F36*AL36</f>
        <v>0</v>
      </c>
      <c r="J36" s="14">
        <f>F36*G36</f>
        <v>0</v>
      </c>
      <c r="K36" s="14">
        <v>4E-05</v>
      </c>
      <c r="L36" s="14">
        <f>F36*K36</f>
        <v>0.0006000000000000001</v>
      </c>
      <c r="M36" s="274" t="s">
        <v>159</v>
      </c>
      <c r="N36" s="64"/>
      <c r="V36" s="27">
        <f>IF(AM36="5",BF36,0)</f>
        <v>0</v>
      </c>
      <c r="X36" s="27">
        <f>IF(AM36="1",BD36,0)</f>
        <v>0</v>
      </c>
      <c r="Y36" s="27">
        <f>IF(AM36="1",BE36,0)</f>
        <v>0</v>
      </c>
      <c r="Z36" s="27">
        <f>IF(AM36="7",BD36,0)</f>
        <v>0</v>
      </c>
      <c r="AA36" s="27">
        <f>IF(AM36="7",BE36,0)</f>
        <v>0</v>
      </c>
      <c r="AB36" s="27">
        <f>IF(AM36="2",BD36,0)</f>
        <v>0</v>
      </c>
      <c r="AC36" s="27">
        <f>IF(AM36="2",BE36,0)</f>
        <v>0</v>
      </c>
      <c r="AD36" s="27">
        <f>IF(AM36="0",BF36,0)</f>
        <v>0</v>
      </c>
      <c r="AE36" s="22"/>
      <c r="AF36" s="14">
        <f>IF(AJ36=0,J36,0)</f>
        <v>0</v>
      </c>
      <c r="AG36" s="14">
        <f>IF(AJ36=15,J36,0)</f>
        <v>0</v>
      </c>
      <c r="AH36" s="14">
        <f>IF(AJ36=21,J36,0)</f>
        <v>0</v>
      </c>
      <c r="AJ36" s="27">
        <v>21</v>
      </c>
      <c r="AK36" s="27">
        <f>G36*0.0105882352941176</f>
        <v>0</v>
      </c>
      <c r="AL36" s="27">
        <f>G36*(1-0.0105882352941176)</f>
        <v>0</v>
      </c>
      <c r="AM36" s="28" t="s">
        <v>7</v>
      </c>
      <c r="AR36" s="27">
        <f>AS36+AT36</f>
        <v>0</v>
      </c>
      <c r="AS36" s="27">
        <f>F36*AK36</f>
        <v>0</v>
      </c>
      <c r="AT36" s="27">
        <f>F36*AL36</f>
        <v>0</v>
      </c>
      <c r="AU36" s="29" t="s">
        <v>180</v>
      </c>
      <c r="AV36" s="29" t="s">
        <v>189</v>
      </c>
      <c r="AW36" s="22" t="s">
        <v>190</v>
      </c>
      <c r="AY36" s="27">
        <f>AS36+AT36</f>
        <v>0</v>
      </c>
      <c r="AZ36" s="27">
        <f>G36/(100-BA36)*100</f>
        <v>0</v>
      </c>
      <c r="BA36" s="27">
        <v>0</v>
      </c>
      <c r="BB36" s="27">
        <f>L36</f>
        <v>0.0006000000000000001</v>
      </c>
      <c r="BD36" s="14">
        <f>F36*AK36</f>
        <v>0</v>
      </c>
      <c r="BE36" s="14">
        <f>F36*AL36</f>
        <v>0</v>
      </c>
      <c r="BF36" s="14">
        <f>F36*G36</f>
        <v>0</v>
      </c>
      <c r="BG36" s="14" t="s">
        <v>195</v>
      </c>
      <c r="BH36" s="27">
        <v>95</v>
      </c>
    </row>
    <row r="37" spans="1:60" ht="12.75">
      <c r="A37" s="273" t="s">
        <v>30</v>
      </c>
      <c r="B37" s="7"/>
      <c r="C37" s="7" t="s">
        <v>74</v>
      </c>
      <c r="D37" s="7" t="s">
        <v>122</v>
      </c>
      <c r="E37" s="7" t="s">
        <v>137</v>
      </c>
      <c r="F37" s="41">
        <v>1</v>
      </c>
      <c r="G37" s="14">
        <v>0</v>
      </c>
      <c r="H37" s="14">
        <f>F37*AK37</f>
        <v>0</v>
      </c>
      <c r="I37" s="14">
        <f>F37*AL37</f>
        <v>0</v>
      </c>
      <c r="J37" s="14">
        <f>F37*G37</f>
        <v>0</v>
      </c>
      <c r="K37" s="14">
        <v>4E-05</v>
      </c>
      <c r="L37" s="14">
        <f>F37*K37</f>
        <v>4E-05</v>
      </c>
      <c r="M37" s="274" t="s">
        <v>160</v>
      </c>
      <c r="N37" s="64"/>
      <c r="V37" s="27">
        <f>IF(AM37="5",BF37,0)</f>
        <v>0</v>
      </c>
      <c r="X37" s="27">
        <f>IF(AM37="1",BD37,0)</f>
        <v>0</v>
      </c>
      <c r="Y37" s="27">
        <f>IF(AM37="1",BE37,0)</f>
        <v>0</v>
      </c>
      <c r="Z37" s="27">
        <f>IF(AM37="7",BD37,0)</f>
        <v>0</v>
      </c>
      <c r="AA37" s="27">
        <f>IF(AM37="7",BE37,0)</f>
        <v>0</v>
      </c>
      <c r="AB37" s="27">
        <f>IF(AM37="2",BD37,0)</f>
        <v>0</v>
      </c>
      <c r="AC37" s="27">
        <f>IF(AM37="2",BE37,0)</f>
        <v>0</v>
      </c>
      <c r="AD37" s="27">
        <f>IF(AM37="0",BF37,0)</f>
        <v>0</v>
      </c>
      <c r="AE37" s="22"/>
      <c r="AF37" s="14">
        <f>IF(AJ37=0,J37,0)</f>
        <v>0</v>
      </c>
      <c r="AG37" s="14">
        <f>IF(AJ37=15,J37,0)</f>
        <v>0</v>
      </c>
      <c r="AH37" s="14">
        <f>IF(AJ37=21,J37,0)</f>
        <v>0</v>
      </c>
      <c r="AJ37" s="27">
        <v>21</v>
      </c>
      <c r="AK37" s="27">
        <f>G37*0.01232</f>
        <v>0</v>
      </c>
      <c r="AL37" s="27">
        <f>G37*(1-0.01232)</f>
        <v>0</v>
      </c>
      <c r="AM37" s="28" t="s">
        <v>7</v>
      </c>
      <c r="AR37" s="27">
        <f>AS37+AT37</f>
        <v>0</v>
      </c>
      <c r="AS37" s="27">
        <f>F37*AK37</f>
        <v>0</v>
      </c>
      <c r="AT37" s="27">
        <f>F37*AL37</f>
        <v>0</v>
      </c>
      <c r="AU37" s="29" t="s">
        <v>180</v>
      </c>
      <c r="AV37" s="29" t="s">
        <v>189</v>
      </c>
      <c r="AW37" s="22" t="s">
        <v>190</v>
      </c>
      <c r="AY37" s="27">
        <f>AS37+AT37</f>
        <v>0</v>
      </c>
      <c r="AZ37" s="27">
        <f>G37/(100-BA37)*100</f>
        <v>0</v>
      </c>
      <c r="BA37" s="27">
        <v>0</v>
      </c>
      <c r="BB37" s="27">
        <f>L37</f>
        <v>4E-05</v>
      </c>
      <c r="BD37" s="14">
        <f>F37*AK37</f>
        <v>0</v>
      </c>
      <c r="BE37" s="14">
        <f>F37*AL37</f>
        <v>0</v>
      </c>
      <c r="BF37" s="14">
        <f>F37*G37</f>
        <v>0</v>
      </c>
      <c r="BG37" s="14" t="s">
        <v>195</v>
      </c>
      <c r="BH37" s="27">
        <v>95</v>
      </c>
    </row>
    <row r="38" spans="1:60" ht="12.75">
      <c r="A38" s="273" t="s">
        <v>31</v>
      </c>
      <c r="B38" s="7"/>
      <c r="C38" s="7" t="s">
        <v>75</v>
      </c>
      <c r="D38" s="7" t="s">
        <v>123</v>
      </c>
      <c r="E38" s="7" t="s">
        <v>137</v>
      </c>
      <c r="F38" s="41">
        <v>1</v>
      </c>
      <c r="G38" s="14">
        <v>0</v>
      </c>
      <c r="H38" s="14">
        <f>F38*AK38</f>
        <v>0</v>
      </c>
      <c r="I38" s="14">
        <f>F38*AL38</f>
        <v>0</v>
      </c>
      <c r="J38" s="14">
        <f>F38*G38</f>
        <v>0</v>
      </c>
      <c r="K38" s="14">
        <v>0</v>
      </c>
      <c r="L38" s="14">
        <f>F38*K38</f>
        <v>0</v>
      </c>
      <c r="M38" s="274" t="s">
        <v>161</v>
      </c>
      <c r="N38" s="64"/>
      <c r="V38" s="27">
        <f>IF(AM38="5",BF38,0)</f>
        <v>0</v>
      </c>
      <c r="X38" s="27">
        <f>IF(AM38="1",BD38,0)</f>
        <v>0</v>
      </c>
      <c r="Y38" s="27">
        <f>IF(AM38="1",BE38,0)</f>
        <v>0</v>
      </c>
      <c r="Z38" s="27">
        <f>IF(AM38="7",BD38,0)</f>
        <v>0</v>
      </c>
      <c r="AA38" s="27">
        <f>IF(AM38="7",BE38,0)</f>
        <v>0</v>
      </c>
      <c r="AB38" s="27">
        <f>IF(AM38="2",BD38,0)</f>
        <v>0</v>
      </c>
      <c r="AC38" s="27">
        <f>IF(AM38="2",BE38,0)</f>
        <v>0</v>
      </c>
      <c r="AD38" s="27">
        <f>IF(AM38="0",BF38,0)</f>
        <v>0</v>
      </c>
      <c r="AE38" s="22"/>
      <c r="AF38" s="14">
        <f>IF(AJ38=0,J38,0)</f>
        <v>0</v>
      </c>
      <c r="AG38" s="14">
        <f>IF(AJ38=15,J38,0)</f>
        <v>0</v>
      </c>
      <c r="AH38" s="14">
        <f>IF(AJ38=21,J38,0)</f>
        <v>0</v>
      </c>
      <c r="AJ38" s="27">
        <v>21</v>
      </c>
      <c r="AK38" s="27">
        <f>G38*0</f>
        <v>0</v>
      </c>
      <c r="AL38" s="27">
        <f>G38*(1-0)</f>
        <v>0</v>
      </c>
      <c r="AM38" s="28" t="s">
        <v>7</v>
      </c>
      <c r="AR38" s="27">
        <f>AS38+AT38</f>
        <v>0</v>
      </c>
      <c r="AS38" s="27">
        <f>F38*AK38</f>
        <v>0</v>
      </c>
      <c r="AT38" s="27">
        <f>F38*AL38</f>
        <v>0</v>
      </c>
      <c r="AU38" s="29" t="s">
        <v>180</v>
      </c>
      <c r="AV38" s="29" t="s">
        <v>189</v>
      </c>
      <c r="AW38" s="22" t="s">
        <v>190</v>
      </c>
      <c r="AY38" s="27">
        <f>AS38+AT38</f>
        <v>0</v>
      </c>
      <c r="AZ38" s="27">
        <f>G38/(100-BA38)*100</f>
        <v>0</v>
      </c>
      <c r="BA38" s="27">
        <v>0</v>
      </c>
      <c r="BB38" s="27">
        <f>L38</f>
        <v>0</v>
      </c>
      <c r="BD38" s="14">
        <f>F38*AK38</f>
        <v>0</v>
      </c>
      <c r="BE38" s="14">
        <f>F38*AL38</f>
        <v>0</v>
      </c>
      <c r="BF38" s="14">
        <f>F38*G38</f>
        <v>0</v>
      </c>
      <c r="BG38" s="14" t="s">
        <v>195</v>
      </c>
      <c r="BH38" s="27">
        <v>95</v>
      </c>
    </row>
    <row r="39" spans="1:43" ht="12.75">
      <c r="A39" s="275"/>
      <c r="B39" s="8"/>
      <c r="C39" s="8" t="s">
        <v>76</v>
      </c>
      <c r="D39" s="8" t="s">
        <v>124</v>
      </c>
      <c r="E39" s="12" t="s">
        <v>6</v>
      </c>
      <c r="F39" s="12" t="s">
        <v>6</v>
      </c>
      <c r="G39" s="12"/>
      <c r="H39" s="32">
        <f>SUM(H40:H42)</f>
        <v>0</v>
      </c>
      <c r="I39" s="32">
        <f>SUM(I40:I42)</f>
        <v>0</v>
      </c>
      <c r="J39" s="32">
        <f>SUM(J40:J42)</f>
        <v>0</v>
      </c>
      <c r="K39" s="22"/>
      <c r="L39" s="32">
        <f>SUM(L40:L42)</f>
        <v>0.30679</v>
      </c>
      <c r="M39" s="276"/>
      <c r="N39" s="64"/>
      <c r="AE39" s="22"/>
      <c r="AO39" s="32">
        <f>SUM(AF40:AF42)</f>
        <v>0</v>
      </c>
      <c r="AP39" s="32">
        <f>SUM(AG40:AG42)</f>
        <v>0</v>
      </c>
      <c r="AQ39" s="32">
        <f>SUM(AH40:AH42)</f>
        <v>0</v>
      </c>
    </row>
    <row r="40" spans="1:60" ht="12.75">
      <c r="A40" s="273" t="s">
        <v>32</v>
      </c>
      <c r="B40" s="7"/>
      <c r="C40" s="7" t="s">
        <v>77</v>
      </c>
      <c r="D40" s="7" t="s">
        <v>125</v>
      </c>
      <c r="E40" s="7" t="s">
        <v>136</v>
      </c>
      <c r="F40" s="41">
        <v>2.2</v>
      </c>
      <c r="G40" s="14">
        <v>0</v>
      </c>
      <c r="H40" s="14">
        <f>F40*AK40</f>
        <v>0</v>
      </c>
      <c r="I40" s="14">
        <f>F40*AL40</f>
        <v>0</v>
      </c>
      <c r="J40" s="14">
        <f>F40*G40</f>
        <v>0</v>
      </c>
      <c r="K40" s="14">
        <v>0.068</v>
      </c>
      <c r="L40" s="14">
        <f>F40*K40</f>
        <v>0.1496</v>
      </c>
      <c r="M40" s="274" t="s">
        <v>160</v>
      </c>
      <c r="N40" s="64"/>
      <c r="V40" s="27">
        <f>IF(AM40="5",BF40,0)</f>
        <v>0</v>
      </c>
      <c r="X40" s="27">
        <f>IF(AM40="1",BD40,0)</f>
        <v>0</v>
      </c>
      <c r="Y40" s="27">
        <f>IF(AM40="1",BE40,0)</f>
        <v>0</v>
      </c>
      <c r="Z40" s="27">
        <f>IF(AM40="7",BD40,0)</f>
        <v>0</v>
      </c>
      <c r="AA40" s="27">
        <f>IF(AM40="7",BE40,0)</f>
        <v>0</v>
      </c>
      <c r="AB40" s="27">
        <f>IF(AM40="2",BD40,0)</f>
        <v>0</v>
      </c>
      <c r="AC40" s="27">
        <f>IF(AM40="2",BE40,0)</f>
        <v>0</v>
      </c>
      <c r="AD40" s="27">
        <f>IF(AM40="0",BF40,0)</f>
        <v>0</v>
      </c>
      <c r="AE40" s="22"/>
      <c r="AF40" s="14">
        <f>IF(AJ40=0,J40,0)</f>
        <v>0</v>
      </c>
      <c r="AG40" s="14">
        <f>IF(AJ40=15,J40,0)</f>
        <v>0</v>
      </c>
      <c r="AH40" s="14">
        <f>IF(AJ40=21,J40,0)</f>
        <v>0</v>
      </c>
      <c r="AJ40" s="27">
        <v>21</v>
      </c>
      <c r="AK40" s="27">
        <f>G40*0.10572934973638</f>
        <v>0</v>
      </c>
      <c r="AL40" s="27">
        <f>G40*(1-0.10572934973638)</f>
        <v>0</v>
      </c>
      <c r="AM40" s="28" t="s">
        <v>7</v>
      </c>
      <c r="AR40" s="27">
        <f>AS40+AT40</f>
        <v>0</v>
      </c>
      <c r="AS40" s="27">
        <f>F40*AK40</f>
        <v>0</v>
      </c>
      <c r="AT40" s="27">
        <f>F40*AL40</f>
        <v>0</v>
      </c>
      <c r="AU40" s="29" t="s">
        <v>181</v>
      </c>
      <c r="AV40" s="29" t="s">
        <v>189</v>
      </c>
      <c r="AW40" s="22" t="s">
        <v>190</v>
      </c>
      <c r="AY40" s="27">
        <f>AS40+AT40</f>
        <v>0</v>
      </c>
      <c r="AZ40" s="27">
        <f>G40/(100-BA40)*100</f>
        <v>0</v>
      </c>
      <c r="BA40" s="27">
        <v>0</v>
      </c>
      <c r="BB40" s="27">
        <f>L40</f>
        <v>0.1496</v>
      </c>
      <c r="BD40" s="14">
        <f>F40*AK40</f>
        <v>0</v>
      </c>
      <c r="BE40" s="14">
        <f>F40*AL40</f>
        <v>0</v>
      </c>
      <c r="BF40" s="14">
        <f>F40*G40</f>
        <v>0</v>
      </c>
      <c r="BG40" s="14" t="s">
        <v>195</v>
      </c>
      <c r="BH40" s="27">
        <v>96</v>
      </c>
    </row>
    <row r="41" spans="1:60" ht="12.75">
      <c r="A41" s="273" t="s">
        <v>33</v>
      </c>
      <c r="B41" s="7"/>
      <c r="C41" s="7" t="s">
        <v>78</v>
      </c>
      <c r="D41" s="7" t="s">
        <v>126</v>
      </c>
      <c r="E41" s="7" t="s">
        <v>137</v>
      </c>
      <c r="F41" s="41">
        <v>1</v>
      </c>
      <c r="G41" s="14">
        <v>0</v>
      </c>
      <c r="H41" s="14">
        <f>F41*AK41</f>
        <v>0</v>
      </c>
      <c r="I41" s="14">
        <f>F41*AL41</f>
        <v>0</v>
      </c>
      <c r="J41" s="14">
        <f>F41*G41</f>
        <v>0</v>
      </c>
      <c r="K41" s="14">
        <v>0.07719</v>
      </c>
      <c r="L41" s="14">
        <f>F41*K41</f>
        <v>0.07719</v>
      </c>
      <c r="M41" s="274" t="s">
        <v>160</v>
      </c>
      <c r="N41" s="64"/>
      <c r="V41" s="27">
        <f>IF(AM41="5",BF41,0)</f>
        <v>0</v>
      </c>
      <c r="X41" s="27">
        <f>IF(AM41="1",BD41,0)</f>
        <v>0</v>
      </c>
      <c r="Y41" s="27">
        <f>IF(AM41="1",BE41,0)</f>
        <v>0</v>
      </c>
      <c r="Z41" s="27">
        <f>IF(AM41="7",BD41,0)</f>
        <v>0</v>
      </c>
      <c r="AA41" s="27">
        <f>IF(AM41="7",BE41,0)</f>
        <v>0</v>
      </c>
      <c r="AB41" s="27">
        <f>IF(AM41="2",BD41,0)</f>
        <v>0</v>
      </c>
      <c r="AC41" s="27">
        <f>IF(AM41="2",BE41,0)</f>
        <v>0</v>
      </c>
      <c r="AD41" s="27">
        <f>IF(AM41="0",BF41,0)</f>
        <v>0</v>
      </c>
      <c r="AE41" s="22"/>
      <c r="AF41" s="14">
        <f>IF(AJ41=0,J41,0)</f>
        <v>0</v>
      </c>
      <c r="AG41" s="14">
        <f>IF(AJ41=15,J41,0)</f>
        <v>0</v>
      </c>
      <c r="AH41" s="14">
        <f>IF(AJ41=21,J41,0)</f>
        <v>0</v>
      </c>
      <c r="AJ41" s="27">
        <v>21</v>
      </c>
      <c r="AK41" s="27">
        <f>G41*0.125882352941176</f>
        <v>0</v>
      </c>
      <c r="AL41" s="27">
        <f>G41*(1-0.125882352941176)</f>
        <v>0</v>
      </c>
      <c r="AM41" s="28" t="s">
        <v>7</v>
      </c>
      <c r="AR41" s="27">
        <f>AS41+AT41</f>
        <v>0</v>
      </c>
      <c r="AS41" s="27">
        <f>F41*AK41</f>
        <v>0</v>
      </c>
      <c r="AT41" s="27">
        <f>F41*AL41</f>
        <v>0</v>
      </c>
      <c r="AU41" s="29" t="s">
        <v>181</v>
      </c>
      <c r="AV41" s="29" t="s">
        <v>189</v>
      </c>
      <c r="AW41" s="22" t="s">
        <v>190</v>
      </c>
      <c r="AY41" s="27">
        <f>AS41+AT41</f>
        <v>0</v>
      </c>
      <c r="AZ41" s="27">
        <f>G41/(100-BA41)*100</f>
        <v>0</v>
      </c>
      <c r="BA41" s="27">
        <v>0</v>
      </c>
      <c r="BB41" s="27">
        <f>L41</f>
        <v>0.07719</v>
      </c>
      <c r="BD41" s="14">
        <f>F41*AK41</f>
        <v>0</v>
      </c>
      <c r="BE41" s="14">
        <f>F41*AL41</f>
        <v>0</v>
      </c>
      <c r="BF41" s="14">
        <f>F41*G41</f>
        <v>0</v>
      </c>
      <c r="BG41" s="14" t="s">
        <v>195</v>
      </c>
      <c r="BH41" s="27">
        <v>96</v>
      </c>
    </row>
    <row r="42" spans="1:60" ht="12.75">
      <c r="A42" s="273" t="s">
        <v>34</v>
      </c>
      <c r="B42" s="7"/>
      <c r="C42" s="7" t="s">
        <v>79</v>
      </c>
      <c r="D42" s="7" t="s">
        <v>127</v>
      </c>
      <c r="E42" s="7" t="s">
        <v>139</v>
      </c>
      <c r="F42" s="41">
        <v>1</v>
      </c>
      <c r="G42" s="14">
        <v>0</v>
      </c>
      <c r="H42" s="14">
        <f>F42*AK42</f>
        <v>0</v>
      </c>
      <c r="I42" s="14">
        <f>F42*AL42</f>
        <v>0</v>
      </c>
      <c r="J42" s="14">
        <f>F42*G42</f>
        <v>0</v>
      </c>
      <c r="K42" s="14">
        <v>0.08</v>
      </c>
      <c r="L42" s="14">
        <f>F42*K42</f>
        <v>0.08</v>
      </c>
      <c r="M42" s="274" t="s">
        <v>159</v>
      </c>
      <c r="N42" s="64"/>
      <c r="V42" s="27">
        <f>IF(AM42="5",BF42,0)</f>
        <v>0</v>
      </c>
      <c r="X42" s="27">
        <f>IF(AM42="1",BD42,0)</f>
        <v>0</v>
      </c>
      <c r="Y42" s="27">
        <f>IF(AM42="1",BE42,0)</f>
        <v>0</v>
      </c>
      <c r="Z42" s="27">
        <f>IF(AM42="7",BD42,0)</f>
        <v>0</v>
      </c>
      <c r="AA42" s="27">
        <f>IF(AM42="7",BE42,0)</f>
        <v>0</v>
      </c>
      <c r="AB42" s="27">
        <f>IF(AM42="2",BD42,0)</f>
        <v>0</v>
      </c>
      <c r="AC42" s="27">
        <f>IF(AM42="2",BE42,0)</f>
        <v>0</v>
      </c>
      <c r="AD42" s="27">
        <f>IF(AM42="0",BF42,0)</f>
        <v>0</v>
      </c>
      <c r="AE42" s="22"/>
      <c r="AF42" s="14">
        <f>IF(AJ42=0,J42,0)</f>
        <v>0</v>
      </c>
      <c r="AG42" s="14">
        <f>IF(AJ42=15,J42,0)</f>
        <v>0</v>
      </c>
      <c r="AH42" s="14">
        <f>IF(AJ42=21,J42,0)</f>
        <v>0</v>
      </c>
      <c r="AJ42" s="27">
        <v>21</v>
      </c>
      <c r="AK42" s="27">
        <f>G42*0.00008</f>
        <v>0</v>
      </c>
      <c r="AL42" s="27">
        <f>G42*(1-0.00008)</f>
        <v>0</v>
      </c>
      <c r="AM42" s="28" t="s">
        <v>7</v>
      </c>
      <c r="AR42" s="27">
        <f>AS42+AT42</f>
        <v>0</v>
      </c>
      <c r="AS42" s="27">
        <f>F42*AK42</f>
        <v>0</v>
      </c>
      <c r="AT42" s="27">
        <f>F42*AL42</f>
        <v>0</v>
      </c>
      <c r="AU42" s="29" t="s">
        <v>181</v>
      </c>
      <c r="AV42" s="29" t="s">
        <v>189</v>
      </c>
      <c r="AW42" s="22" t="s">
        <v>190</v>
      </c>
      <c r="AY42" s="27">
        <f>AS42+AT42</f>
        <v>0</v>
      </c>
      <c r="AZ42" s="27">
        <f>G42/(100-BA42)*100</f>
        <v>0</v>
      </c>
      <c r="BA42" s="27">
        <v>0</v>
      </c>
      <c r="BB42" s="27">
        <f>L42</f>
        <v>0.08</v>
      </c>
      <c r="BD42" s="14">
        <f>F42*AK42</f>
        <v>0</v>
      </c>
      <c r="BE42" s="14">
        <f>F42*AL42</f>
        <v>0</v>
      </c>
      <c r="BF42" s="14">
        <f>F42*G42</f>
        <v>0</v>
      </c>
      <c r="BG42" s="14" t="s">
        <v>195</v>
      </c>
      <c r="BH42" s="27">
        <v>96</v>
      </c>
    </row>
    <row r="43" spans="1:43" ht="12.75">
      <c r="A43" s="275"/>
      <c r="B43" s="8"/>
      <c r="C43" s="8" t="s">
        <v>80</v>
      </c>
      <c r="D43" s="8" t="s">
        <v>128</v>
      </c>
      <c r="E43" s="12" t="s">
        <v>6</v>
      </c>
      <c r="F43" s="12" t="s">
        <v>6</v>
      </c>
      <c r="G43" s="12"/>
      <c r="H43" s="32">
        <f>SUM(H44:H44)</f>
        <v>0</v>
      </c>
      <c r="I43" s="32">
        <f>SUM(I44:I44)</f>
        <v>0</v>
      </c>
      <c r="J43" s="32">
        <f>SUM(J44:J44)</f>
        <v>0</v>
      </c>
      <c r="K43" s="22"/>
      <c r="L43" s="32">
        <f>SUM(L44:L44)</f>
        <v>0.03034</v>
      </c>
      <c r="M43" s="276"/>
      <c r="N43" s="64"/>
      <c r="AE43" s="22"/>
      <c r="AO43" s="32">
        <f>SUM(AF44:AF44)</f>
        <v>0</v>
      </c>
      <c r="AP43" s="32">
        <f>SUM(AG44:AG44)</f>
        <v>0</v>
      </c>
      <c r="AQ43" s="32">
        <f>SUM(AH44:AH44)</f>
        <v>0</v>
      </c>
    </row>
    <row r="44" spans="1:60" ht="12.75">
      <c r="A44" s="273" t="s">
        <v>35</v>
      </c>
      <c r="B44" s="7"/>
      <c r="C44" s="7" t="s">
        <v>81</v>
      </c>
      <c r="D44" s="7" t="s">
        <v>129</v>
      </c>
      <c r="E44" s="7" t="s">
        <v>139</v>
      </c>
      <c r="F44" s="41">
        <v>1</v>
      </c>
      <c r="G44" s="14">
        <v>0</v>
      </c>
      <c r="H44" s="14">
        <f>F44*AK44</f>
        <v>0</v>
      </c>
      <c r="I44" s="14">
        <f>F44*AL44</f>
        <v>0</v>
      </c>
      <c r="J44" s="14">
        <f>F44*G44</f>
        <v>0</v>
      </c>
      <c r="K44" s="14">
        <v>0.03034</v>
      </c>
      <c r="L44" s="14">
        <f>F44*K44</f>
        <v>0.03034</v>
      </c>
      <c r="M44" s="274" t="s">
        <v>159</v>
      </c>
      <c r="N44" s="64"/>
      <c r="V44" s="27">
        <f>IF(AM44="5",BF44,0)</f>
        <v>0</v>
      </c>
      <c r="X44" s="27">
        <f>IF(AM44="1",BD44,0)</f>
        <v>0</v>
      </c>
      <c r="Y44" s="27">
        <f>IF(AM44="1",BE44,0)</f>
        <v>0</v>
      </c>
      <c r="Z44" s="27">
        <f>IF(AM44="7",BD44,0)</f>
        <v>0</v>
      </c>
      <c r="AA44" s="27">
        <f>IF(AM44="7",BE44,0)</f>
        <v>0</v>
      </c>
      <c r="AB44" s="27">
        <f>IF(AM44="2",BD44,0)</f>
        <v>0</v>
      </c>
      <c r="AC44" s="27">
        <f>IF(AM44="2",BE44,0)</f>
        <v>0</v>
      </c>
      <c r="AD44" s="27">
        <f>IF(AM44="0",BF44,0)</f>
        <v>0</v>
      </c>
      <c r="AE44" s="22"/>
      <c r="AF44" s="14">
        <f>IF(AJ44=0,J44,0)</f>
        <v>0</v>
      </c>
      <c r="AG44" s="14">
        <f>IF(AJ44=15,J44,0)</f>
        <v>0</v>
      </c>
      <c r="AH44" s="14">
        <f>IF(AJ44=21,J44,0)</f>
        <v>0</v>
      </c>
      <c r="AJ44" s="27">
        <v>21</v>
      </c>
      <c r="AK44" s="27">
        <f>G44*0.0495227272727273</f>
        <v>0</v>
      </c>
      <c r="AL44" s="27">
        <f>G44*(1-0.0495227272727273)</f>
        <v>0</v>
      </c>
      <c r="AM44" s="28" t="s">
        <v>7</v>
      </c>
      <c r="AR44" s="27">
        <f>AS44+AT44</f>
        <v>0</v>
      </c>
      <c r="AS44" s="27">
        <f>F44*AK44</f>
        <v>0</v>
      </c>
      <c r="AT44" s="27">
        <f>F44*AL44</f>
        <v>0</v>
      </c>
      <c r="AU44" s="29" t="s">
        <v>182</v>
      </c>
      <c r="AV44" s="29" t="s">
        <v>189</v>
      </c>
      <c r="AW44" s="22" t="s">
        <v>190</v>
      </c>
      <c r="AY44" s="27">
        <f>AS44+AT44</f>
        <v>0</v>
      </c>
      <c r="AZ44" s="27">
        <f>G44/(100-BA44)*100</f>
        <v>0</v>
      </c>
      <c r="BA44" s="27">
        <v>0</v>
      </c>
      <c r="BB44" s="27">
        <f>L44</f>
        <v>0.03034</v>
      </c>
      <c r="BD44" s="14">
        <f>F44*AK44</f>
        <v>0</v>
      </c>
      <c r="BE44" s="14">
        <f>F44*AL44</f>
        <v>0</v>
      </c>
      <c r="BF44" s="14">
        <f>F44*G44</f>
        <v>0</v>
      </c>
      <c r="BG44" s="14" t="s">
        <v>195</v>
      </c>
      <c r="BH44" s="27">
        <v>97</v>
      </c>
    </row>
    <row r="45" spans="1:43" ht="12.75">
      <c r="A45" s="275"/>
      <c r="B45" s="8"/>
      <c r="C45" s="8" t="s">
        <v>82</v>
      </c>
      <c r="D45" s="8" t="s">
        <v>130</v>
      </c>
      <c r="E45" s="12" t="s">
        <v>6</v>
      </c>
      <c r="F45" s="12" t="s">
        <v>6</v>
      </c>
      <c r="G45" s="12"/>
      <c r="H45" s="32">
        <f>SUM(H46:H47)</f>
        <v>0</v>
      </c>
      <c r="I45" s="32">
        <f>SUM(I46:I47)</f>
        <v>0</v>
      </c>
      <c r="J45" s="32">
        <f>SUM(J46:J47)</f>
        <v>0</v>
      </c>
      <c r="K45" s="22"/>
      <c r="L45" s="32">
        <f>SUM(L46:L47)</f>
        <v>0</v>
      </c>
      <c r="M45" s="276"/>
      <c r="N45" s="64"/>
      <c r="AE45" s="22"/>
      <c r="AO45" s="32">
        <f>SUM(AF46:AF47)</f>
        <v>0</v>
      </c>
      <c r="AP45" s="32">
        <f>SUM(AG46:AG47)</f>
        <v>0</v>
      </c>
      <c r="AQ45" s="32">
        <f>SUM(AH46:AH47)</f>
        <v>0</v>
      </c>
    </row>
    <row r="46" spans="1:60" ht="12.75">
      <c r="A46" s="273" t="s">
        <v>36</v>
      </c>
      <c r="B46" s="7"/>
      <c r="C46" s="7" t="s">
        <v>83</v>
      </c>
      <c r="D46" s="7" t="s">
        <v>131</v>
      </c>
      <c r="E46" s="7" t="s">
        <v>141</v>
      </c>
      <c r="F46" s="41">
        <v>1</v>
      </c>
      <c r="G46" s="14">
        <v>0</v>
      </c>
      <c r="H46" s="14">
        <f>F46*AK46</f>
        <v>0</v>
      </c>
      <c r="I46" s="14">
        <f>F46*AL46</f>
        <v>0</v>
      </c>
      <c r="J46" s="14">
        <f>F46*G46</f>
        <v>0</v>
      </c>
      <c r="K46" s="14">
        <v>0</v>
      </c>
      <c r="L46" s="14">
        <f>F46*K46</f>
        <v>0</v>
      </c>
      <c r="M46" s="274" t="s">
        <v>160</v>
      </c>
      <c r="N46" s="64"/>
      <c r="V46" s="27">
        <f>IF(AM46="5",BF46,0)</f>
        <v>0</v>
      </c>
      <c r="X46" s="27">
        <f>IF(AM46="1",BD46,0)</f>
        <v>0</v>
      </c>
      <c r="Y46" s="27">
        <f>IF(AM46="1",BE46,0)</f>
        <v>0</v>
      </c>
      <c r="Z46" s="27">
        <f>IF(AM46="7",BD46,0)</f>
        <v>0</v>
      </c>
      <c r="AA46" s="27">
        <f>IF(AM46="7",BE46,0)</f>
        <v>0</v>
      </c>
      <c r="AB46" s="27">
        <f>IF(AM46="2",BD46,0)</f>
        <v>0</v>
      </c>
      <c r="AC46" s="27">
        <f>IF(AM46="2",BE46,0)</f>
        <v>0</v>
      </c>
      <c r="AD46" s="27">
        <f>IF(AM46="0",BF46,0)</f>
        <v>0</v>
      </c>
      <c r="AE46" s="22"/>
      <c r="AF46" s="14">
        <f>IF(AJ46=0,J46,0)</f>
        <v>0</v>
      </c>
      <c r="AG46" s="14">
        <f>IF(AJ46=15,J46,0)</f>
        <v>0</v>
      </c>
      <c r="AH46" s="14">
        <f>IF(AJ46=21,J46,0)</f>
        <v>0</v>
      </c>
      <c r="AJ46" s="27">
        <v>21</v>
      </c>
      <c r="AK46" s="27">
        <f>G46*0</f>
        <v>0</v>
      </c>
      <c r="AL46" s="27">
        <f>G46*(1-0)</f>
        <v>0</v>
      </c>
      <c r="AM46" s="28" t="s">
        <v>11</v>
      </c>
      <c r="AR46" s="27">
        <f>AS46+AT46</f>
        <v>0</v>
      </c>
      <c r="AS46" s="27">
        <f>F46*AK46</f>
        <v>0</v>
      </c>
      <c r="AT46" s="27">
        <f>F46*AL46</f>
        <v>0</v>
      </c>
      <c r="AU46" s="29" t="s">
        <v>183</v>
      </c>
      <c r="AV46" s="29" t="s">
        <v>189</v>
      </c>
      <c r="AW46" s="22" t="s">
        <v>190</v>
      </c>
      <c r="AY46" s="27">
        <f>AS46+AT46</f>
        <v>0</v>
      </c>
      <c r="AZ46" s="27">
        <f>G46/(100-BA46)*100</f>
        <v>0</v>
      </c>
      <c r="BA46" s="27">
        <v>0</v>
      </c>
      <c r="BB46" s="27">
        <f>L46</f>
        <v>0</v>
      </c>
      <c r="BD46" s="14">
        <f>F46*AK46</f>
        <v>0</v>
      </c>
      <c r="BE46" s="14">
        <f>F46*AL46</f>
        <v>0</v>
      </c>
      <c r="BF46" s="14">
        <f>F46*G46</f>
        <v>0</v>
      </c>
      <c r="BG46" s="14" t="s">
        <v>195</v>
      </c>
      <c r="BH46" s="27" t="s">
        <v>82</v>
      </c>
    </row>
    <row r="47" spans="1:60" ht="12.75">
      <c r="A47" s="277" t="s">
        <v>37</v>
      </c>
      <c r="B47" s="9"/>
      <c r="C47" s="9" t="s">
        <v>84</v>
      </c>
      <c r="D47" s="9" t="s">
        <v>132</v>
      </c>
      <c r="E47" s="9" t="s">
        <v>137</v>
      </c>
      <c r="F47" s="42">
        <v>1</v>
      </c>
      <c r="G47" s="15">
        <v>0</v>
      </c>
      <c r="H47" s="15">
        <f>F47*AK47</f>
        <v>0</v>
      </c>
      <c r="I47" s="15">
        <f>F47*AL47</f>
        <v>0</v>
      </c>
      <c r="J47" s="15">
        <f>F47*G47</f>
        <v>0</v>
      </c>
      <c r="K47" s="15">
        <v>0</v>
      </c>
      <c r="L47" s="15">
        <f>F47*K47</f>
        <v>0</v>
      </c>
      <c r="M47" s="278" t="s">
        <v>159</v>
      </c>
      <c r="N47" s="64"/>
      <c r="V47" s="27">
        <f>IF(AM47="5",BF47,0)</f>
        <v>0</v>
      </c>
      <c r="X47" s="27">
        <f>IF(AM47="1",BD47,0)</f>
        <v>0</v>
      </c>
      <c r="Y47" s="27">
        <f>IF(AM47="1",BE47,0)</f>
        <v>0</v>
      </c>
      <c r="Z47" s="27">
        <f>IF(AM47="7",BD47,0)</f>
        <v>0</v>
      </c>
      <c r="AA47" s="27">
        <f>IF(AM47="7",BE47,0)</f>
        <v>0</v>
      </c>
      <c r="AB47" s="27">
        <f>IF(AM47="2",BD47,0)</f>
        <v>0</v>
      </c>
      <c r="AC47" s="27">
        <f>IF(AM47="2",BE47,0)</f>
        <v>0</v>
      </c>
      <c r="AD47" s="27">
        <f>IF(AM47="0",BF47,0)</f>
        <v>0</v>
      </c>
      <c r="AE47" s="22"/>
      <c r="AF47" s="14">
        <f>IF(AJ47=0,J47,0)</f>
        <v>0</v>
      </c>
      <c r="AG47" s="14">
        <f>IF(AJ47=15,J47,0)</f>
        <v>0</v>
      </c>
      <c r="AH47" s="14">
        <f>IF(AJ47=21,J47,0)</f>
        <v>0</v>
      </c>
      <c r="AJ47" s="27">
        <v>21</v>
      </c>
      <c r="AK47" s="27">
        <f>G47*0</f>
        <v>0</v>
      </c>
      <c r="AL47" s="27">
        <f>G47*(1-0)</f>
        <v>0</v>
      </c>
      <c r="AM47" s="28" t="s">
        <v>11</v>
      </c>
      <c r="AR47" s="27">
        <f>AS47+AT47</f>
        <v>0</v>
      </c>
      <c r="AS47" s="27">
        <f>F47*AK47</f>
        <v>0</v>
      </c>
      <c r="AT47" s="27">
        <f>F47*AL47</f>
        <v>0</v>
      </c>
      <c r="AU47" s="29" t="s">
        <v>183</v>
      </c>
      <c r="AV47" s="29" t="s">
        <v>189</v>
      </c>
      <c r="AW47" s="22" t="s">
        <v>190</v>
      </c>
      <c r="AY47" s="27">
        <f>AS47+AT47</f>
        <v>0</v>
      </c>
      <c r="AZ47" s="27">
        <f>G47/(100-BA47)*100</f>
        <v>0</v>
      </c>
      <c r="BA47" s="27">
        <v>0</v>
      </c>
      <c r="BB47" s="27">
        <f>L47</f>
        <v>0</v>
      </c>
      <c r="BD47" s="14">
        <f>F47*AK47</f>
        <v>0</v>
      </c>
      <c r="BE47" s="14">
        <f>F47*AL47</f>
        <v>0</v>
      </c>
      <c r="BF47" s="14">
        <f>F47*G47</f>
        <v>0</v>
      </c>
      <c r="BG47" s="14" t="s">
        <v>195</v>
      </c>
      <c r="BH47" s="27" t="s">
        <v>82</v>
      </c>
    </row>
    <row r="48" spans="1:13" ht="12.75">
      <c r="A48" s="279"/>
      <c r="B48" s="3"/>
      <c r="C48" s="3"/>
      <c r="D48" s="280"/>
      <c r="E48" s="3"/>
      <c r="F48" s="280"/>
      <c r="G48" s="280"/>
      <c r="H48" s="337" t="s">
        <v>151</v>
      </c>
      <c r="I48" s="338"/>
      <c r="J48" s="33">
        <f>J4+J9+J15+J17+J19+J22+J26+J30+J33+J35+J39+J43+J45</f>
        <v>0</v>
      </c>
      <c r="K48" s="3"/>
      <c r="L48" s="3"/>
      <c r="M48" s="281"/>
    </row>
    <row r="49" spans="1:13" ht="11.25" customHeight="1">
      <c r="A49" s="282"/>
      <c r="B49" s="61"/>
      <c r="C49" s="61"/>
      <c r="D49" s="62" t="s">
        <v>207</v>
      </c>
      <c r="E49" s="61" t="s">
        <v>137</v>
      </c>
      <c r="F49" s="63">
        <v>1</v>
      </c>
      <c r="G49" s="68">
        <v>0</v>
      </c>
      <c r="H49" s="69"/>
      <c r="I49" s="69"/>
      <c r="J49" s="69">
        <f>F49*G49</f>
        <v>0</v>
      </c>
      <c r="K49" s="61"/>
      <c r="L49" s="61"/>
      <c r="M49" s="283"/>
    </row>
    <row r="50" spans="1:13" ht="12">
      <c r="A50" s="339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340"/>
    </row>
    <row r="51" spans="1:13" s="70" customFormat="1" ht="13.5" thickBot="1">
      <c r="A51" s="284"/>
      <c r="B51" s="285"/>
      <c r="C51" s="285"/>
      <c r="D51" s="285" t="s">
        <v>296</v>
      </c>
      <c r="E51" s="285"/>
      <c r="F51" s="285"/>
      <c r="G51" s="285"/>
      <c r="H51" s="285"/>
      <c r="I51" s="285"/>
      <c r="J51" s="286">
        <f>J48+J49</f>
        <v>0</v>
      </c>
      <c r="K51" s="285"/>
      <c r="L51" s="285"/>
      <c r="M51" s="287"/>
    </row>
  </sheetData>
  <sheetProtection/>
  <mergeCells count="5">
    <mergeCell ref="H2:J2"/>
    <mergeCell ref="K2:L2"/>
    <mergeCell ref="H48:I48"/>
    <mergeCell ref="A50:M50"/>
    <mergeCell ref="A1:M1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="60" zoomScaleNormal="60" zoomScalePageLayoutView="0" workbookViewId="0" topLeftCell="A33">
      <selection activeCell="E55" sqref="E55"/>
    </sheetView>
  </sheetViews>
  <sheetFormatPr defaultColWidth="9.140625" defaultRowHeight="12.75"/>
  <cols>
    <col min="2" max="2" width="61.140625" style="0" customWidth="1"/>
    <col min="4" max="4" width="8.28125" style="0" customWidth="1"/>
    <col min="5" max="5" width="11.140625" style="0" customWidth="1"/>
    <col min="6" max="6" width="16.140625" style="0" customWidth="1"/>
  </cols>
  <sheetData>
    <row r="1" spans="1:6" ht="12.75">
      <c r="A1" s="345" t="s">
        <v>692</v>
      </c>
      <c r="B1" s="346"/>
      <c r="C1" s="346"/>
      <c r="D1" s="346"/>
      <c r="E1" s="346"/>
      <c r="F1" s="346"/>
    </row>
    <row r="2" ht="15" customHeight="1"/>
    <row r="3" spans="1:6" ht="13.5">
      <c r="A3" s="241" t="s">
        <v>215</v>
      </c>
      <c r="B3" s="242" t="s">
        <v>216</v>
      </c>
      <c r="C3" s="243" t="s">
        <v>217</v>
      </c>
      <c r="D3" s="243" t="s">
        <v>218</v>
      </c>
      <c r="E3" s="244" t="s">
        <v>219</v>
      </c>
      <c r="F3" s="244" t="s">
        <v>220</v>
      </c>
    </row>
    <row r="4" spans="1:6" ht="12">
      <c r="A4" s="46"/>
      <c r="B4" s="46"/>
      <c r="C4" s="47"/>
      <c r="D4" s="47"/>
      <c r="E4" s="48"/>
      <c r="F4" s="47"/>
    </row>
    <row r="5" spans="1:6" ht="22.5" customHeight="1">
      <c r="A5" s="46" t="s">
        <v>221</v>
      </c>
      <c r="B5" s="46" t="s">
        <v>222</v>
      </c>
      <c r="C5" s="47" t="s">
        <v>223</v>
      </c>
      <c r="D5" s="49">
        <v>1</v>
      </c>
      <c r="E5" s="50">
        <v>0</v>
      </c>
      <c r="F5" s="51">
        <f>D5*E5</f>
        <v>0</v>
      </c>
    </row>
    <row r="6" spans="1:6" ht="22.5" customHeight="1">
      <c r="A6" s="52" t="s">
        <v>224</v>
      </c>
      <c r="B6" s="46" t="s">
        <v>225</v>
      </c>
      <c r="C6" s="47" t="s">
        <v>223</v>
      </c>
      <c r="D6" s="49">
        <v>2</v>
      </c>
      <c r="E6" s="50">
        <v>0</v>
      </c>
      <c r="F6" s="51">
        <f aca="true" t="shared" si="0" ref="F6:F52">D6*E6</f>
        <v>0</v>
      </c>
    </row>
    <row r="7" spans="1:6" ht="22.5" customHeight="1">
      <c r="A7" s="52" t="s">
        <v>226</v>
      </c>
      <c r="B7" s="46" t="s">
        <v>227</v>
      </c>
      <c r="C7" s="47" t="s">
        <v>223</v>
      </c>
      <c r="D7" s="49">
        <v>1</v>
      </c>
      <c r="E7" s="50">
        <v>0</v>
      </c>
      <c r="F7" s="51">
        <f t="shared" si="0"/>
        <v>0</v>
      </c>
    </row>
    <row r="8" spans="1:6" ht="22.5" customHeight="1">
      <c r="A8" s="52" t="s">
        <v>228</v>
      </c>
      <c r="B8" s="46" t="s">
        <v>229</v>
      </c>
      <c r="C8" s="47" t="s">
        <v>223</v>
      </c>
      <c r="D8" s="49">
        <v>1</v>
      </c>
      <c r="E8" s="50">
        <v>0</v>
      </c>
      <c r="F8" s="51">
        <f t="shared" si="0"/>
        <v>0</v>
      </c>
    </row>
    <row r="9" spans="1:6" ht="22.5" customHeight="1">
      <c r="A9" s="52" t="s">
        <v>230</v>
      </c>
      <c r="B9" s="46" t="s">
        <v>231</v>
      </c>
      <c r="C9" s="47" t="s">
        <v>223</v>
      </c>
      <c r="D9" s="49">
        <v>1</v>
      </c>
      <c r="E9" s="50">
        <v>0</v>
      </c>
      <c r="F9" s="51">
        <f t="shared" si="0"/>
        <v>0</v>
      </c>
    </row>
    <row r="10" spans="1:6" ht="22.5" customHeight="1">
      <c r="A10" s="52" t="s">
        <v>232</v>
      </c>
      <c r="B10" s="46" t="s">
        <v>231</v>
      </c>
      <c r="C10" s="47" t="s">
        <v>223</v>
      </c>
      <c r="D10" s="49">
        <v>1</v>
      </c>
      <c r="E10" s="50">
        <v>0</v>
      </c>
      <c r="F10" s="51">
        <f t="shared" si="0"/>
        <v>0</v>
      </c>
    </row>
    <row r="11" spans="1:6" ht="22.5" customHeight="1">
      <c r="A11" s="52" t="s">
        <v>233</v>
      </c>
      <c r="B11" s="46" t="s">
        <v>234</v>
      </c>
      <c r="C11" s="47" t="s">
        <v>223</v>
      </c>
      <c r="D11" s="49">
        <v>2</v>
      </c>
      <c r="E11" s="50">
        <v>0</v>
      </c>
      <c r="F11" s="51">
        <f t="shared" si="0"/>
        <v>0</v>
      </c>
    </row>
    <row r="12" spans="1:6" ht="22.5" customHeight="1">
      <c r="A12" s="52" t="s">
        <v>235</v>
      </c>
      <c r="B12" s="53" t="s">
        <v>236</v>
      </c>
      <c r="C12" s="47" t="s">
        <v>223</v>
      </c>
      <c r="D12" s="49">
        <v>1</v>
      </c>
      <c r="E12" s="50">
        <v>0</v>
      </c>
      <c r="F12" s="51">
        <f t="shared" si="0"/>
        <v>0</v>
      </c>
    </row>
    <row r="13" spans="1:6" ht="22.5" customHeight="1">
      <c r="A13" s="52" t="s">
        <v>237</v>
      </c>
      <c r="B13" s="53" t="s">
        <v>236</v>
      </c>
      <c r="C13" s="47" t="s">
        <v>223</v>
      </c>
      <c r="D13" s="54">
        <v>1</v>
      </c>
      <c r="E13" s="50">
        <v>0</v>
      </c>
      <c r="F13" s="51">
        <f t="shared" si="0"/>
        <v>0</v>
      </c>
    </row>
    <row r="14" spans="1:6" ht="22.5" customHeight="1">
      <c r="A14" s="52" t="s">
        <v>238</v>
      </c>
      <c r="B14" s="53" t="s">
        <v>236</v>
      </c>
      <c r="C14" s="47" t="s">
        <v>223</v>
      </c>
      <c r="D14" s="49">
        <v>1</v>
      </c>
      <c r="E14" s="50">
        <v>0</v>
      </c>
      <c r="F14" s="51">
        <f t="shared" si="0"/>
        <v>0</v>
      </c>
    </row>
    <row r="15" spans="1:6" ht="22.5" customHeight="1">
      <c r="A15" s="52" t="s">
        <v>239</v>
      </c>
      <c r="B15" s="53" t="s">
        <v>236</v>
      </c>
      <c r="C15" s="47" t="s">
        <v>223</v>
      </c>
      <c r="D15" s="49">
        <v>1</v>
      </c>
      <c r="E15" s="50">
        <v>0</v>
      </c>
      <c r="F15" s="51">
        <f t="shared" si="0"/>
        <v>0</v>
      </c>
    </row>
    <row r="16" spans="1:6" ht="22.5" customHeight="1">
      <c r="A16" s="52" t="s">
        <v>240</v>
      </c>
      <c r="B16" s="46" t="s">
        <v>241</v>
      </c>
      <c r="C16" s="47" t="s">
        <v>223</v>
      </c>
      <c r="D16" s="47">
        <v>2</v>
      </c>
      <c r="E16" s="50">
        <v>0</v>
      </c>
      <c r="F16" s="51">
        <f t="shared" si="0"/>
        <v>0</v>
      </c>
    </row>
    <row r="17" spans="1:6" ht="22.5" customHeight="1">
      <c r="A17" s="52" t="s">
        <v>242</v>
      </c>
      <c r="B17" s="46" t="s">
        <v>243</v>
      </c>
      <c r="C17" s="47" t="s">
        <v>223</v>
      </c>
      <c r="D17" s="47">
        <v>2</v>
      </c>
      <c r="E17" s="50">
        <v>0</v>
      </c>
      <c r="F17" s="51">
        <f t="shared" si="0"/>
        <v>0</v>
      </c>
    </row>
    <row r="18" spans="1:6" ht="22.5" customHeight="1">
      <c r="A18" s="52" t="s">
        <v>244</v>
      </c>
      <c r="B18" s="46" t="s">
        <v>245</v>
      </c>
      <c r="C18" s="47" t="s">
        <v>223</v>
      </c>
      <c r="D18" s="49">
        <v>1</v>
      </c>
      <c r="E18" s="50">
        <v>0</v>
      </c>
      <c r="F18" s="51">
        <f t="shared" si="0"/>
        <v>0</v>
      </c>
    </row>
    <row r="19" spans="1:6" ht="22.5" customHeight="1">
      <c r="A19" s="46"/>
      <c r="B19" s="46" t="s">
        <v>246</v>
      </c>
      <c r="C19" s="47" t="s">
        <v>288</v>
      </c>
      <c r="D19" s="49">
        <v>4</v>
      </c>
      <c r="E19" s="50">
        <v>0</v>
      </c>
      <c r="F19" s="51">
        <f t="shared" si="0"/>
        <v>0</v>
      </c>
    </row>
    <row r="20" spans="1:6" ht="22.5" customHeight="1">
      <c r="A20" s="46"/>
      <c r="B20" s="46" t="s">
        <v>247</v>
      </c>
      <c r="C20" s="47" t="s">
        <v>248</v>
      </c>
      <c r="D20" s="49">
        <v>25</v>
      </c>
      <c r="E20" s="50">
        <v>0</v>
      </c>
      <c r="F20" s="51">
        <f t="shared" si="0"/>
        <v>0</v>
      </c>
    </row>
    <row r="21" spans="1:6" ht="22.5" customHeight="1">
      <c r="A21" s="46"/>
      <c r="B21" s="46" t="s">
        <v>249</v>
      </c>
      <c r="C21" s="47" t="s">
        <v>223</v>
      </c>
      <c r="D21" s="49">
        <v>14</v>
      </c>
      <c r="E21" s="50">
        <v>0</v>
      </c>
      <c r="F21" s="51">
        <f t="shared" si="0"/>
        <v>0</v>
      </c>
    </row>
    <row r="22" spans="1:6" ht="22.5" customHeight="1">
      <c r="A22" s="46"/>
      <c r="B22" s="46" t="s">
        <v>250</v>
      </c>
      <c r="C22" s="47" t="s">
        <v>248</v>
      </c>
      <c r="D22" s="49">
        <v>6</v>
      </c>
      <c r="E22" s="50">
        <v>0</v>
      </c>
      <c r="F22" s="51">
        <f t="shared" si="0"/>
        <v>0</v>
      </c>
    </row>
    <row r="23" spans="1:6" ht="22.5" customHeight="1">
      <c r="A23" s="46"/>
      <c r="B23" s="46" t="s">
        <v>251</v>
      </c>
      <c r="C23" s="47" t="s">
        <v>223</v>
      </c>
      <c r="D23" s="49">
        <v>3</v>
      </c>
      <c r="E23" s="50">
        <v>0</v>
      </c>
      <c r="F23" s="51">
        <f t="shared" si="0"/>
        <v>0</v>
      </c>
    </row>
    <row r="24" spans="1:6" ht="22.5" customHeight="1">
      <c r="A24" s="55" t="s">
        <v>252</v>
      </c>
      <c r="B24" s="53" t="s">
        <v>253</v>
      </c>
      <c r="C24" s="47" t="s">
        <v>136</v>
      </c>
      <c r="D24" s="47">
        <v>15</v>
      </c>
      <c r="E24" s="50">
        <v>0</v>
      </c>
      <c r="F24" s="51">
        <f t="shared" si="0"/>
        <v>0</v>
      </c>
    </row>
    <row r="25" spans="1:6" ht="22.5" customHeight="1">
      <c r="A25" s="55" t="s">
        <v>254</v>
      </c>
      <c r="B25" s="46" t="s">
        <v>255</v>
      </c>
      <c r="C25" s="47" t="s">
        <v>136</v>
      </c>
      <c r="D25" s="47">
        <v>2</v>
      </c>
      <c r="E25" s="50">
        <v>0</v>
      </c>
      <c r="F25" s="51">
        <f t="shared" si="0"/>
        <v>0</v>
      </c>
    </row>
    <row r="26" spans="1:6" ht="22.5" customHeight="1">
      <c r="A26" s="56"/>
      <c r="B26" s="57"/>
      <c r="C26" s="58"/>
      <c r="D26" s="58"/>
      <c r="E26" s="59"/>
      <c r="F26" s="51">
        <f t="shared" si="0"/>
        <v>0</v>
      </c>
    </row>
    <row r="27" spans="1:6" ht="22.5" customHeight="1">
      <c r="A27" s="52" t="s">
        <v>256</v>
      </c>
      <c r="B27" s="53" t="s">
        <v>257</v>
      </c>
      <c r="C27" s="47" t="s">
        <v>223</v>
      </c>
      <c r="D27" s="47">
        <v>1</v>
      </c>
      <c r="E27" s="50">
        <v>0</v>
      </c>
      <c r="F27" s="51">
        <f t="shared" si="0"/>
        <v>0</v>
      </c>
    </row>
    <row r="28" spans="1:6" ht="22.5" customHeight="1">
      <c r="A28" s="52" t="s">
        <v>258</v>
      </c>
      <c r="B28" s="46" t="s">
        <v>259</v>
      </c>
      <c r="C28" s="47" t="s">
        <v>223</v>
      </c>
      <c r="D28" s="49">
        <v>1</v>
      </c>
      <c r="E28" s="50">
        <v>0</v>
      </c>
      <c r="F28" s="51">
        <f t="shared" si="0"/>
        <v>0</v>
      </c>
    </row>
    <row r="29" spans="1:6" ht="22.5" customHeight="1">
      <c r="A29" s="52" t="s">
        <v>260</v>
      </c>
      <c r="B29" s="46" t="s">
        <v>261</v>
      </c>
      <c r="C29" s="47" t="s">
        <v>223</v>
      </c>
      <c r="D29" s="49">
        <v>2</v>
      </c>
      <c r="E29" s="50">
        <v>0</v>
      </c>
      <c r="F29" s="51">
        <f t="shared" si="0"/>
        <v>0</v>
      </c>
    </row>
    <row r="30" spans="1:6" ht="22.5" customHeight="1">
      <c r="A30" s="52" t="s">
        <v>262</v>
      </c>
      <c r="B30" s="46" t="s">
        <v>263</v>
      </c>
      <c r="C30" s="47" t="s">
        <v>223</v>
      </c>
      <c r="D30" s="47">
        <v>1</v>
      </c>
      <c r="E30" s="50">
        <v>0</v>
      </c>
      <c r="F30" s="51">
        <f t="shared" si="0"/>
        <v>0</v>
      </c>
    </row>
    <row r="31" spans="1:6" ht="22.5" customHeight="1">
      <c r="A31" s="52" t="s">
        <v>264</v>
      </c>
      <c r="B31" s="46" t="s">
        <v>265</v>
      </c>
      <c r="C31" s="47" t="s">
        <v>223</v>
      </c>
      <c r="D31" s="47">
        <v>1</v>
      </c>
      <c r="E31" s="50">
        <v>0</v>
      </c>
      <c r="F31" s="51">
        <f t="shared" si="0"/>
        <v>0</v>
      </c>
    </row>
    <row r="32" spans="1:6" ht="22.5" customHeight="1">
      <c r="A32" s="52" t="s">
        <v>266</v>
      </c>
      <c r="B32" s="46" t="s">
        <v>267</v>
      </c>
      <c r="C32" s="47" t="s">
        <v>223</v>
      </c>
      <c r="D32" s="47">
        <v>1</v>
      </c>
      <c r="E32" s="50">
        <v>0</v>
      </c>
      <c r="F32" s="51">
        <f t="shared" si="0"/>
        <v>0</v>
      </c>
    </row>
    <row r="33" spans="1:6" ht="22.5" customHeight="1">
      <c r="A33" s="52"/>
      <c r="B33" s="46" t="s">
        <v>268</v>
      </c>
      <c r="C33" s="47" t="s">
        <v>248</v>
      </c>
      <c r="D33" s="47">
        <v>2</v>
      </c>
      <c r="E33" s="50">
        <v>0</v>
      </c>
      <c r="F33" s="51">
        <f t="shared" si="0"/>
        <v>0</v>
      </c>
    </row>
    <row r="34" spans="1:6" ht="22.5" customHeight="1">
      <c r="A34" s="52"/>
      <c r="B34" s="46" t="s">
        <v>269</v>
      </c>
      <c r="C34" s="47" t="s">
        <v>223</v>
      </c>
      <c r="D34" s="47">
        <v>2</v>
      </c>
      <c r="E34" s="50">
        <v>0</v>
      </c>
      <c r="F34" s="51">
        <f t="shared" si="0"/>
        <v>0</v>
      </c>
    </row>
    <row r="35" spans="1:6" ht="22.5" customHeight="1">
      <c r="A35" s="52"/>
      <c r="B35" s="46" t="s">
        <v>270</v>
      </c>
      <c r="C35" s="47" t="s">
        <v>248</v>
      </c>
      <c r="D35" s="47">
        <v>30</v>
      </c>
      <c r="E35" s="50">
        <v>0</v>
      </c>
      <c r="F35" s="51">
        <f t="shared" si="0"/>
        <v>0</v>
      </c>
    </row>
    <row r="36" spans="1:6" ht="22.5" customHeight="1">
      <c r="A36" s="52"/>
      <c r="B36" s="46" t="s">
        <v>271</v>
      </c>
      <c r="C36" s="47" t="s">
        <v>223</v>
      </c>
      <c r="D36" s="47">
        <v>10</v>
      </c>
      <c r="E36" s="50">
        <v>0</v>
      </c>
      <c r="F36" s="51">
        <f t="shared" si="0"/>
        <v>0</v>
      </c>
    </row>
    <row r="37" spans="1:6" ht="22.5" customHeight="1">
      <c r="A37" s="52"/>
      <c r="B37" s="46" t="s">
        <v>272</v>
      </c>
      <c r="C37" s="47" t="s">
        <v>248</v>
      </c>
      <c r="D37" s="47">
        <v>2</v>
      </c>
      <c r="E37" s="50">
        <v>0</v>
      </c>
      <c r="F37" s="51">
        <f t="shared" si="0"/>
        <v>0</v>
      </c>
    </row>
    <row r="38" spans="1:6" ht="22.5" customHeight="1">
      <c r="A38" s="56"/>
      <c r="B38" s="57" t="s">
        <v>208</v>
      </c>
      <c r="C38" s="58"/>
      <c r="D38" s="58"/>
      <c r="E38" s="59"/>
      <c r="F38" s="51">
        <f t="shared" si="0"/>
        <v>0</v>
      </c>
    </row>
    <row r="39" spans="1:6" ht="22.5" customHeight="1">
      <c r="A39" s="52"/>
      <c r="B39" s="46" t="s">
        <v>273</v>
      </c>
      <c r="C39" s="47" t="s">
        <v>137</v>
      </c>
      <c r="D39" s="47">
        <v>1</v>
      </c>
      <c r="E39" s="50">
        <v>0</v>
      </c>
      <c r="F39" s="51">
        <f t="shared" si="0"/>
        <v>0</v>
      </c>
    </row>
    <row r="40" spans="1:6" ht="22.5" customHeight="1">
      <c r="A40" s="52"/>
      <c r="B40" s="46" t="s">
        <v>274</v>
      </c>
      <c r="C40" s="47" t="s">
        <v>248</v>
      </c>
      <c r="D40" s="47">
        <v>6</v>
      </c>
      <c r="E40" s="50">
        <v>0</v>
      </c>
      <c r="F40" s="51">
        <f t="shared" si="0"/>
        <v>0</v>
      </c>
    </row>
    <row r="41" spans="1:6" ht="22.5" customHeight="1">
      <c r="A41" s="52"/>
      <c r="B41" s="46" t="s">
        <v>275</v>
      </c>
      <c r="C41" s="47" t="s">
        <v>248</v>
      </c>
      <c r="D41" s="47">
        <v>6</v>
      </c>
      <c r="E41" s="50">
        <v>0</v>
      </c>
      <c r="F41" s="51">
        <f t="shared" si="0"/>
        <v>0</v>
      </c>
    </row>
    <row r="42" spans="1:6" ht="22.5" customHeight="1">
      <c r="A42" s="52"/>
      <c r="B42" s="46" t="s">
        <v>276</v>
      </c>
      <c r="C42" s="47" t="s">
        <v>137</v>
      </c>
      <c r="D42" s="47">
        <v>1</v>
      </c>
      <c r="E42" s="50">
        <v>0</v>
      </c>
      <c r="F42" s="51">
        <f t="shared" si="0"/>
        <v>0</v>
      </c>
    </row>
    <row r="43" spans="1:6" ht="22.5" customHeight="1">
      <c r="A43" s="52"/>
      <c r="B43" s="46" t="s">
        <v>277</v>
      </c>
      <c r="C43" s="47" t="s">
        <v>137</v>
      </c>
      <c r="D43" s="47">
        <v>1</v>
      </c>
      <c r="E43" s="50">
        <v>0</v>
      </c>
      <c r="F43" s="51">
        <f t="shared" si="0"/>
        <v>0</v>
      </c>
    </row>
    <row r="44" spans="1:6" ht="22.5" customHeight="1">
      <c r="A44" s="52"/>
      <c r="B44" s="46" t="s">
        <v>278</v>
      </c>
      <c r="C44" s="47" t="s">
        <v>279</v>
      </c>
      <c r="D44" s="47">
        <v>150</v>
      </c>
      <c r="E44" s="50">
        <v>0</v>
      </c>
      <c r="F44" s="51">
        <f t="shared" si="0"/>
        <v>0</v>
      </c>
    </row>
    <row r="45" spans="1:6" ht="22.5" customHeight="1">
      <c r="A45" s="52"/>
      <c r="B45" s="46" t="s">
        <v>280</v>
      </c>
      <c r="C45" s="47" t="s">
        <v>137</v>
      </c>
      <c r="D45" s="47">
        <v>8</v>
      </c>
      <c r="E45" s="50">
        <v>0</v>
      </c>
      <c r="F45" s="51">
        <f t="shared" si="0"/>
        <v>0</v>
      </c>
    </row>
    <row r="46" spans="1:6" ht="22.5" customHeight="1">
      <c r="A46" s="52"/>
      <c r="B46" s="46" t="s">
        <v>281</v>
      </c>
      <c r="C46" s="47" t="s">
        <v>137</v>
      </c>
      <c r="D46" s="47">
        <v>7</v>
      </c>
      <c r="E46" s="50">
        <v>0</v>
      </c>
      <c r="F46" s="51">
        <f t="shared" si="0"/>
        <v>0</v>
      </c>
    </row>
    <row r="47" spans="1:6" ht="22.5" customHeight="1">
      <c r="A47" s="52"/>
      <c r="B47" s="53" t="s">
        <v>282</v>
      </c>
      <c r="C47" s="47" t="s">
        <v>223</v>
      </c>
      <c r="D47" s="47">
        <v>1</v>
      </c>
      <c r="E47" s="50">
        <v>0</v>
      </c>
      <c r="F47" s="51">
        <f t="shared" si="0"/>
        <v>0</v>
      </c>
    </row>
    <row r="48" spans="1:6" ht="22.5" customHeight="1">
      <c r="A48" s="52"/>
      <c r="B48" s="46" t="s">
        <v>283</v>
      </c>
      <c r="C48" s="47" t="s">
        <v>223</v>
      </c>
      <c r="D48" s="47">
        <v>6</v>
      </c>
      <c r="E48" s="50">
        <v>0</v>
      </c>
      <c r="F48" s="51">
        <f t="shared" si="0"/>
        <v>0</v>
      </c>
    </row>
    <row r="49" spans="1:6" ht="22.5" customHeight="1">
      <c r="A49" s="52"/>
      <c r="B49" s="46" t="s">
        <v>284</v>
      </c>
      <c r="C49" s="47" t="s">
        <v>137</v>
      </c>
      <c r="D49" s="47">
        <v>1</v>
      </c>
      <c r="E49" s="50">
        <v>0</v>
      </c>
      <c r="F49" s="51">
        <f t="shared" si="0"/>
        <v>0</v>
      </c>
    </row>
    <row r="50" spans="1:6" ht="22.5" customHeight="1">
      <c r="A50" s="52"/>
      <c r="B50" s="46" t="s">
        <v>285</v>
      </c>
      <c r="C50" s="47" t="s">
        <v>137</v>
      </c>
      <c r="D50" s="47">
        <v>1</v>
      </c>
      <c r="E50" s="50">
        <v>0</v>
      </c>
      <c r="F50" s="51">
        <f t="shared" si="0"/>
        <v>0</v>
      </c>
    </row>
    <row r="51" spans="1:6" ht="22.5" customHeight="1">
      <c r="A51" s="52"/>
      <c r="B51" s="46" t="s">
        <v>289</v>
      </c>
      <c r="C51" s="47" t="s">
        <v>137</v>
      </c>
      <c r="D51" s="47">
        <v>1</v>
      </c>
      <c r="E51" s="50">
        <v>0</v>
      </c>
      <c r="F51" s="51">
        <f t="shared" si="0"/>
        <v>0</v>
      </c>
    </row>
    <row r="52" spans="1:6" ht="22.5" customHeight="1">
      <c r="A52" s="52"/>
      <c r="B52" s="46" t="s">
        <v>286</v>
      </c>
      <c r="C52" s="47" t="s">
        <v>137</v>
      </c>
      <c r="D52" s="47">
        <v>1</v>
      </c>
      <c r="E52" s="51">
        <v>0</v>
      </c>
      <c r="F52" s="51">
        <f t="shared" si="0"/>
        <v>0</v>
      </c>
    </row>
    <row r="53" spans="1:6" ht="14.25">
      <c r="A53" s="343" t="s">
        <v>297</v>
      </c>
      <c r="B53" s="344"/>
      <c r="C53" s="71"/>
      <c r="D53" s="71"/>
      <c r="E53" s="71"/>
      <c r="F53" s="72">
        <f>SUM(F5:F52)</f>
        <v>0</v>
      </c>
    </row>
    <row r="54" spans="1:6" ht="12">
      <c r="A54" s="60"/>
      <c r="B54" s="60"/>
      <c r="C54" s="60"/>
      <c r="D54" s="60"/>
      <c r="E54" s="60"/>
      <c r="F54" s="60"/>
    </row>
    <row r="55" spans="1:6" ht="12">
      <c r="A55" s="60"/>
      <c r="B55" s="60"/>
      <c r="C55" s="60"/>
      <c r="D55" s="60"/>
      <c r="E55" s="60"/>
      <c r="F55" s="60"/>
    </row>
    <row r="56" spans="1:6" ht="12">
      <c r="A56" s="60"/>
      <c r="B56" s="60"/>
      <c r="C56" s="60"/>
      <c r="D56" s="60"/>
      <c r="E56" s="60"/>
      <c r="F56" s="60"/>
    </row>
    <row r="57" spans="1:6" ht="12">
      <c r="A57" s="60"/>
      <c r="B57" s="60"/>
      <c r="C57" s="60"/>
      <c r="D57" s="60"/>
      <c r="E57" s="60"/>
      <c r="F57" s="60"/>
    </row>
    <row r="58" spans="1:6" ht="12">
      <c r="A58" s="60"/>
      <c r="B58" s="60"/>
      <c r="C58" s="60"/>
      <c r="D58" s="60"/>
      <c r="E58" s="60"/>
      <c r="F58" s="60"/>
    </row>
    <row r="59" spans="1:6" ht="12">
      <c r="A59" s="60"/>
      <c r="B59" s="60"/>
      <c r="C59" s="60"/>
      <c r="D59" s="60"/>
      <c r="E59" s="60"/>
      <c r="F59" s="60"/>
    </row>
    <row r="60" spans="1:6" ht="12">
      <c r="A60" s="60"/>
      <c r="B60" s="60"/>
      <c r="C60" s="60"/>
      <c r="D60" s="60"/>
      <c r="E60" s="60"/>
      <c r="F60" s="60"/>
    </row>
    <row r="61" spans="1:6" ht="12">
      <c r="A61" s="60"/>
      <c r="B61" s="60"/>
      <c r="C61" s="60"/>
      <c r="D61" s="60"/>
      <c r="E61" s="60"/>
      <c r="F61" s="60"/>
    </row>
    <row r="62" spans="1:6" ht="12">
      <c r="A62" s="60"/>
      <c r="B62" s="60"/>
      <c r="C62" s="60"/>
      <c r="D62" s="60"/>
      <c r="E62" s="60"/>
      <c r="F62" s="60"/>
    </row>
    <row r="63" spans="1:6" ht="12">
      <c r="A63" s="60"/>
      <c r="B63" s="60"/>
      <c r="C63" s="60"/>
      <c r="D63" s="60"/>
      <c r="E63" s="60"/>
      <c r="F63" s="60"/>
    </row>
    <row r="64" spans="1:6" ht="12">
      <c r="A64" s="60"/>
      <c r="B64" s="60"/>
      <c r="C64" s="60"/>
      <c r="D64" s="60"/>
      <c r="E64" s="60"/>
      <c r="F64" s="60"/>
    </row>
  </sheetData>
  <sheetProtection/>
  <mergeCells count="2">
    <mergeCell ref="A53:B53"/>
    <mergeCell ref="A1:F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="80" zoomScaleNormal="80" zoomScalePageLayoutView="0" workbookViewId="0" topLeftCell="A22">
      <selection activeCell="N51" sqref="N51"/>
    </sheetView>
  </sheetViews>
  <sheetFormatPr defaultColWidth="9.140625" defaultRowHeight="12.75"/>
  <cols>
    <col min="14" max="14" width="13.8515625" style="0" customWidth="1"/>
    <col min="15" max="15" width="17.8515625" style="0" customWidth="1"/>
  </cols>
  <sheetData>
    <row r="1" spans="1:15" s="239" customFormat="1" ht="15.75" thickBot="1">
      <c r="A1" s="373"/>
      <c r="B1" s="374"/>
      <c r="C1" s="374"/>
      <c r="D1" s="375"/>
      <c r="E1" s="376" t="s">
        <v>687</v>
      </c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1:15" ht="12">
      <c r="A2" s="378" t="s">
        <v>298</v>
      </c>
      <c r="B2" s="381" t="s">
        <v>157</v>
      </c>
      <c r="C2" s="382"/>
      <c r="D2" s="383" t="s">
        <v>216</v>
      </c>
      <c r="E2" s="384"/>
      <c r="F2" s="384"/>
      <c r="G2" s="384"/>
      <c r="H2" s="384"/>
      <c r="I2" s="385"/>
      <c r="J2" s="392" t="s">
        <v>299</v>
      </c>
      <c r="K2" s="395" t="s">
        <v>142</v>
      </c>
      <c r="L2" s="398" t="s">
        <v>300</v>
      </c>
      <c r="M2" s="398" t="s">
        <v>301</v>
      </c>
      <c r="N2" s="403" t="s">
        <v>302</v>
      </c>
      <c r="O2" s="404"/>
    </row>
    <row r="3" spans="1:15" ht="12">
      <c r="A3" s="379"/>
      <c r="B3" s="364" t="s">
        <v>158</v>
      </c>
      <c r="C3" s="365"/>
      <c r="D3" s="386"/>
      <c r="E3" s="387"/>
      <c r="F3" s="387"/>
      <c r="G3" s="387"/>
      <c r="H3" s="387"/>
      <c r="I3" s="388"/>
      <c r="J3" s="393"/>
      <c r="K3" s="396"/>
      <c r="L3" s="399"/>
      <c r="M3" s="401"/>
      <c r="N3" s="405"/>
      <c r="O3" s="406"/>
    </row>
    <row r="4" spans="1:15" ht="12.75" thickBot="1">
      <c r="A4" s="380"/>
      <c r="B4" s="74" t="s">
        <v>303</v>
      </c>
      <c r="C4" s="74" t="s">
        <v>304</v>
      </c>
      <c r="D4" s="389"/>
      <c r="E4" s="390"/>
      <c r="F4" s="390"/>
      <c r="G4" s="390"/>
      <c r="H4" s="390"/>
      <c r="I4" s="391"/>
      <c r="J4" s="394"/>
      <c r="K4" s="397"/>
      <c r="L4" s="400"/>
      <c r="M4" s="402"/>
      <c r="N4" s="75" t="s">
        <v>305</v>
      </c>
      <c r="O4" s="76" t="s">
        <v>306</v>
      </c>
    </row>
    <row r="5" spans="1:15" ht="15" thickBot="1">
      <c r="A5" s="366" t="s">
        <v>307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77" t="s">
        <v>308</v>
      </c>
      <c r="O5" s="78">
        <f>SUM(O6:O40)</f>
        <v>0</v>
      </c>
    </row>
    <row r="6" spans="1:15" ht="14.25">
      <c r="A6" s="79" t="s">
        <v>309</v>
      </c>
      <c r="B6" s="80" t="s">
        <v>310</v>
      </c>
      <c r="C6" s="80" t="s">
        <v>310</v>
      </c>
      <c r="D6" s="367" t="s">
        <v>311</v>
      </c>
      <c r="E6" s="368"/>
      <c r="F6" s="368"/>
      <c r="G6" s="368"/>
      <c r="H6" s="368"/>
      <c r="I6" s="369"/>
      <c r="J6" s="81" t="s">
        <v>223</v>
      </c>
      <c r="K6" s="82">
        <v>1</v>
      </c>
      <c r="L6" s="83" t="s">
        <v>312</v>
      </c>
      <c r="M6" s="370" t="s">
        <v>313</v>
      </c>
      <c r="N6" s="84">
        <v>0</v>
      </c>
      <c r="O6" s="85">
        <f aca="true" t="shared" si="0" ref="O6:O49">K6*N6</f>
        <v>0</v>
      </c>
    </row>
    <row r="7" spans="1:15" ht="14.25">
      <c r="A7" s="86" t="s">
        <v>314</v>
      </c>
      <c r="B7" s="87" t="s">
        <v>310</v>
      </c>
      <c r="C7" s="87" t="s">
        <v>310</v>
      </c>
      <c r="D7" s="372" t="s">
        <v>315</v>
      </c>
      <c r="E7" s="362"/>
      <c r="F7" s="362"/>
      <c r="G7" s="362"/>
      <c r="H7" s="362"/>
      <c r="I7" s="363"/>
      <c r="J7" s="88" t="s">
        <v>223</v>
      </c>
      <c r="K7" s="89">
        <v>1</v>
      </c>
      <c r="L7" s="90" t="s">
        <v>312</v>
      </c>
      <c r="M7" s="371"/>
      <c r="N7" s="91">
        <v>0</v>
      </c>
      <c r="O7" s="92">
        <f t="shared" si="0"/>
        <v>0</v>
      </c>
    </row>
    <row r="8" spans="1:15" ht="14.25">
      <c r="A8" s="86" t="s">
        <v>316</v>
      </c>
      <c r="B8" s="87" t="s">
        <v>310</v>
      </c>
      <c r="C8" s="87" t="s">
        <v>310</v>
      </c>
      <c r="D8" s="372" t="s">
        <v>317</v>
      </c>
      <c r="E8" s="362"/>
      <c r="F8" s="362"/>
      <c r="G8" s="362"/>
      <c r="H8" s="362"/>
      <c r="I8" s="363"/>
      <c r="J8" s="88" t="s">
        <v>223</v>
      </c>
      <c r="K8" s="89">
        <v>1</v>
      </c>
      <c r="L8" s="90" t="s">
        <v>312</v>
      </c>
      <c r="M8" s="371"/>
      <c r="N8" s="91">
        <v>0</v>
      </c>
      <c r="O8" s="92">
        <f t="shared" si="0"/>
        <v>0</v>
      </c>
    </row>
    <row r="9" spans="1:15" ht="14.25">
      <c r="A9" s="86" t="s">
        <v>318</v>
      </c>
      <c r="B9" s="87" t="s">
        <v>310</v>
      </c>
      <c r="C9" s="87" t="s">
        <v>310</v>
      </c>
      <c r="D9" s="372" t="s">
        <v>319</v>
      </c>
      <c r="E9" s="362"/>
      <c r="F9" s="362"/>
      <c r="G9" s="362"/>
      <c r="H9" s="362"/>
      <c r="I9" s="363"/>
      <c r="J9" s="93" t="s">
        <v>223</v>
      </c>
      <c r="K9" s="89">
        <v>1</v>
      </c>
      <c r="L9" s="90" t="s">
        <v>312</v>
      </c>
      <c r="M9" s="371"/>
      <c r="N9" s="91">
        <v>0</v>
      </c>
      <c r="O9" s="92">
        <f t="shared" si="0"/>
        <v>0</v>
      </c>
    </row>
    <row r="10" spans="1:15" ht="14.25">
      <c r="A10" s="86" t="s">
        <v>320</v>
      </c>
      <c r="B10" s="87" t="s">
        <v>310</v>
      </c>
      <c r="C10" s="87" t="s">
        <v>310</v>
      </c>
      <c r="D10" s="361" t="s">
        <v>321</v>
      </c>
      <c r="E10" s="362"/>
      <c r="F10" s="362"/>
      <c r="G10" s="362"/>
      <c r="H10" s="362"/>
      <c r="I10" s="363"/>
      <c r="J10" s="93" t="s">
        <v>223</v>
      </c>
      <c r="K10" s="89">
        <v>1</v>
      </c>
      <c r="L10" s="90" t="s">
        <v>312</v>
      </c>
      <c r="M10" s="371"/>
      <c r="N10" s="91">
        <v>0</v>
      </c>
      <c r="O10" s="92">
        <f t="shared" si="0"/>
        <v>0</v>
      </c>
    </row>
    <row r="11" spans="1:15" ht="14.25">
      <c r="A11" s="86" t="s">
        <v>322</v>
      </c>
      <c r="B11" s="87" t="s">
        <v>310</v>
      </c>
      <c r="C11" s="87" t="s">
        <v>310</v>
      </c>
      <c r="D11" s="361" t="s">
        <v>323</v>
      </c>
      <c r="E11" s="362"/>
      <c r="F11" s="362"/>
      <c r="G11" s="362"/>
      <c r="H11" s="362"/>
      <c r="I11" s="363"/>
      <c r="J11" s="93" t="s">
        <v>223</v>
      </c>
      <c r="K11" s="89">
        <v>1</v>
      </c>
      <c r="L11" s="90" t="s">
        <v>312</v>
      </c>
      <c r="M11" s="371"/>
      <c r="N11" s="91">
        <v>0</v>
      </c>
      <c r="O11" s="92">
        <f t="shared" si="0"/>
        <v>0</v>
      </c>
    </row>
    <row r="12" spans="1:15" ht="14.25">
      <c r="A12" s="86" t="s">
        <v>324</v>
      </c>
      <c r="B12" s="87" t="s">
        <v>310</v>
      </c>
      <c r="C12" s="87" t="s">
        <v>310</v>
      </c>
      <c r="D12" s="361" t="s">
        <v>325</v>
      </c>
      <c r="E12" s="362"/>
      <c r="F12" s="362"/>
      <c r="G12" s="362"/>
      <c r="H12" s="362"/>
      <c r="I12" s="363"/>
      <c r="J12" s="93" t="s">
        <v>223</v>
      </c>
      <c r="K12" s="89">
        <v>1</v>
      </c>
      <c r="L12" s="90" t="s">
        <v>312</v>
      </c>
      <c r="M12" s="371"/>
      <c r="N12" s="91">
        <v>0</v>
      </c>
      <c r="O12" s="92">
        <f t="shared" si="0"/>
        <v>0</v>
      </c>
    </row>
    <row r="13" spans="1:15" ht="14.25">
      <c r="A13" s="86" t="s">
        <v>326</v>
      </c>
      <c r="B13" s="87" t="s">
        <v>310</v>
      </c>
      <c r="C13" s="87" t="s">
        <v>310</v>
      </c>
      <c r="D13" s="361" t="s">
        <v>327</v>
      </c>
      <c r="E13" s="362"/>
      <c r="F13" s="362"/>
      <c r="G13" s="362"/>
      <c r="H13" s="362"/>
      <c r="I13" s="363"/>
      <c r="J13" s="93" t="s">
        <v>223</v>
      </c>
      <c r="K13" s="89">
        <v>1</v>
      </c>
      <c r="L13" s="90" t="s">
        <v>312</v>
      </c>
      <c r="M13" s="371"/>
      <c r="N13" s="91">
        <v>0</v>
      </c>
      <c r="O13" s="92">
        <f t="shared" si="0"/>
        <v>0</v>
      </c>
    </row>
    <row r="14" spans="1:15" ht="14.25">
      <c r="A14" s="86" t="s">
        <v>328</v>
      </c>
      <c r="B14" s="87" t="s">
        <v>310</v>
      </c>
      <c r="C14" s="87" t="s">
        <v>310</v>
      </c>
      <c r="D14" s="361" t="s">
        <v>329</v>
      </c>
      <c r="E14" s="362"/>
      <c r="F14" s="362"/>
      <c r="G14" s="362"/>
      <c r="H14" s="362"/>
      <c r="I14" s="363"/>
      <c r="J14" s="93" t="s">
        <v>223</v>
      </c>
      <c r="K14" s="89">
        <v>1</v>
      </c>
      <c r="L14" s="90" t="s">
        <v>312</v>
      </c>
      <c r="M14" s="371"/>
      <c r="N14" s="91">
        <v>0</v>
      </c>
      <c r="O14" s="92">
        <f t="shared" si="0"/>
        <v>0</v>
      </c>
    </row>
    <row r="15" spans="1:15" ht="14.25">
      <c r="A15" s="86" t="s">
        <v>330</v>
      </c>
      <c r="B15" s="87" t="s">
        <v>310</v>
      </c>
      <c r="C15" s="87" t="s">
        <v>310</v>
      </c>
      <c r="D15" s="361" t="s">
        <v>331</v>
      </c>
      <c r="E15" s="362"/>
      <c r="F15" s="362"/>
      <c r="G15" s="362"/>
      <c r="H15" s="362"/>
      <c r="I15" s="363"/>
      <c r="J15" s="93" t="s">
        <v>223</v>
      </c>
      <c r="K15" s="89">
        <v>1</v>
      </c>
      <c r="L15" s="90" t="s">
        <v>312</v>
      </c>
      <c r="M15" s="371"/>
      <c r="N15" s="91">
        <v>0</v>
      </c>
      <c r="O15" s="92">
        <f t="shared" si="0"/>
        <v>0</v>
      </c>
    </row>
    <row r="16" spans="1:15" ht="14.25">
      <c r="A16" s="86" t="s">
        <v>332</v>
      </c>
      <c r="B16" s="87" t="s">
        <v>310</v>
      </c>
      <c r="C16" s="87" t="s">
        <v>310</v>
      </c>
      <c r="D16" s="361" t="s">
        <v>333</v>
      </c>
      <c r="E16" s="362"/>
      <c r="F16" s="362"/>
      <c r="G16" s="362"/>
      <c r="H16" s="362"/>
      <c r="I16" s="363"/>
      <c r="J16" s="93" t="s">
        <v>223</v>
      </c>
      <c r="K16" s="89">
        <v>1</v>
      </c>
      <c r="L16" s="90" t="s">
        <v>312</v>
      </c>
      <c r="M16" s="371"/>
      <c r="N16" s="91">
        <v>0</v>
      </c>
      <c r="O16" s="92">
        <f t="shared" si="0"/>
        <v>0</v>
      </c>
    </row>
    <row r="17" spans="1:15" ht="14.25">
      <c r="A17" s="86" t="s">
        <v>334</v>
      </c>
      <c r="B17" s="87" t="s">
        <v>310</v>
      </c>
      <c r="C17" s="87" t="s">
        <v>310</v>
      </c>
      <c r="D17" s="361" t="s">
        <v>335</v>
      </c>
      <c r="E17" s="362"/>
      <c r="F17" s="362"/>
      <c r="G17" s="362"/>
      <c r="H17" s="362"/>
      <c r="I17" s="363"/>
      <c r="J17" s="93" t="s">
        <v>223</v>
      </c>
      <c r="K17" s="89">
        <v>1</v>
      </c>
      <c r="L17" s="90" t="s">
        <v>312</v>
      </c>
      <c r="M17" s="371"/>
      <c r="N17" s="91">
        <v>0</v>
      </c>
      <c r="O17" s="92">
        <f t="shared" si="0"/>
        <v>0</v>
      </c>
    </row>
    <row r="18" spans="1:15" ht="14.25">
      <c r="A18" s="86" t="s">
        <v>336</v>
      </c>
      <c r="B18" s="87" t="s">
        <v>310</v>
      </c>
      <c r="C18" s="87" t="s">
        <v>310</v>
      </c>
      <c r="D18" s="361" t="s">
        <v>337</v>
      </c>
      <c r="E18" s="362"/>
      <c r="F18" s="362"/>
      <c r="G18" s="362"/>
      <c r="H18" s="362"/>
      <c r="I18" s="363"/>
      <c r="J18" s="93" t="s">
        <v>223</v>
      </c>
      <c r="K18" s="89">
        <v>1</v>
      </c>
      <c r="L18" s="90" t="s">
        <v>312</v>
      </c>
      <c r="M18" s="371"/>
      <c r="N18" s="91">
        <v>0</v>
      </c>
      <c r="O18" s="92">
        <f t="shared" si="0"/>
        <v>0</v>
      </c>
    </row>
    <row r="19" spans="1:15" ht="14.25">
      <c r="A19" s="86" t="s">
        <v>338</v>
      </c>
      <c r="B19" s="87" t="s">
        <v>310</v>
      </c>
      <c r="C19" s="87" t="s">
        <v>310</v>
      </c>
      <c r="D19" s="361" t="s">
        <v>339</v>
      </c>
      <c r="E19" s="362"/>
      <c r="F19" s="362"/>
      <c r="G19" s="362"/>
      <c r="H19" s="362"/>
      <c r="I19" s="363"/>
      <c r="J19" s="93" t="s">
        <v>223</v>
      </c>
      <c r="K19" s="89">
        <v>1</v>
      </c>
      <c r="L19" s="90" t="s">
        <v>312</v>
      </c>
      <c r="M19" s="371"/>
      <c r="N19" s="91">
        <v>0</v>
      </c>
      <c r="O19" s="92">
        <f t="shared" si="0"/>
        <v>0</v>
      </c>
    </row>
    <row r="20" spans="1:15" ht="14.25">
      <c r="A20" s="86" t="s">
        <v>340</v>
      </c>
      <c r="B20" s="87" t="s">
        <v>310</v>
      </c>
      <c r="C20" s="87" t="s">
        <v>310</v>
      </c>
      <c r="D20" s="361" t="s">
        <v>341</v>
      </c>
      <c r="E20" s="362"/>
      <c r="F20" s="362"/>
      <c r="G20" s="362"/>
      <c r="H20" s="362"/>
      <c r="I20" s="363"/>
      <c r="J20" s="93" t="s">
        <v>223</v>
      </c>
      <c r="K20" s="89">
        <v>1</v>
      </c>
      <c r="L20" s="90" t="s">
        <v>312</v>
      </c>
      <c r="M20" s="371"/>
      <c r="N20" s="91">
        <v>0</v>
      </c>
      <c r="O20" s="92">
        <f t="shared" si="0"/>
        <v>0</v>
      </c>
    </row>
    <row r="21" spans="1:15" ht="14.25">
      <c r="A21" s="94" t="s">
        <v>342</v>
      </c>
      <c r="B21" s="95" t="s">
        <v>310</v>
      </c>
      <c r="C21" s="95" t="s">
        <v>310</v>
      </c>
      <c r="D21" s="352" t="s">
        <v>343</v>
      </c>
      <c r="E21" s="353"/>
      <c r="F21" s="353"/>
      <c r="G21" s="353"/>
      <c r="H21" s="353"/>
      <c r="I21" s="354"/>
      <c r="J21" s="96" t="s">
        <v>223</v>
      </c>
      <c r="K21" s="97">
        <v>1</v>
      </c>
      <c r="L21" s="98" t="s">
        <v>312</v>
      </c>
      <c r="M21" s="371"/>
      <c r="N21" s="99">
        <v>0</v>
      </c>
      <c r="O21" s="100">
        <f t="shared" si="0"/>
        <v>0</v>
      </c>
    </row>
    <row r="22" spans="1:15" ht="14.25">
      <c r="A22" s="94" t="s">
        <v>344</v>
      </c>
      <c r="B22" s="95" t="s">
        <v>310</v>
      </c>
      <c r="C22" s="95" t="s">
        <v>310</v>
      </c>
      <c r="D22" s="352" t="s">
        <v>345</v>
      </c>
      <c r="E22" s="353"/>
      <c r="F22" s="353"/>
      <c r="G22" s="353"/>
      <c r="H22" s="353"/>
      <c r="I22" s="354"/>
      <c r="J22" s="96" t="s">
        <v>223</v>
      </c>
      <c r="K22" s="97">
        <v>1</v>
      </c>
      <c r="L22" s="98" t="s">
        <v>312</v>
      </c>
      <c r="M22" s="371"/>
      <c r="N22" s="99">
        <v>0</v>
      </c>
      <c r="O22" s="100">
        <f t="shared" si="0"/>
        <v>0</v>
      </c>
    </row>
    <row r="23" spans="1:15" ht="14.25">
      <c r="A23" s="94" t="s">
        <v>346</v>
      </c>
      <c r="B23" s="95" t="s">
        <v>310</v>
      </c>
      <c r="C23" s="95" t="s">
        <v>310</v>
      </c>
      <c r="D23" s="352" t="s">
        <v>347</v>
      </c>
      <c r="E23" s="353"/>
      <c r="F23" s="353"/>
      <c r="G23" s="353"/>
      <c r="H23" s="353"/>
      <c r="I23" s="354"/>
      <c r="J23" s="96" t="s">
        <v>223</v>
      </c>
      <c r="K23" s="97">
        <v>1</v>
      </c>
      <c r="L23" s="98" t="s">
        <v>312</v>
      </c>
      <c r="M23" s="371"/>
      <c r="N23" s="99">
        <v>0</v>
      </c>
      <c r="O23" s="100">
        <f t="shared" si="0"/>
        <v>0</v>
      </c>
    </row>
    <row r="24" spans="1:15" ht="14.25">
      <c r="A24" s="94" t="s">
        <v>348</v>
      </c>
      <c r="B24" s="95" t="s">
        <v>310</v>
      </c>
      <c r="C24" s="95" t="s">
        <v>310</v>
      </c>
      <c r="D24" s="352" t="s">
        <v>349</v>
      </c>
      <c r="E24" s="353"/>
      <c r="F24" s="353"/>
      <c r="G24" s="353"/>
      <c r="H24" s="353"/>
      <c r="I24" s="354"/>
      <c r="J24" s="96" t="s">
        <v>223</v>
      </c>
      <c r="K24" s="97">
        <v>1</v>
      </c>
      <c r="L24" s="98" t="s">
        <v>312</v>
      </c>
      <c r="M24" s="371"/>
      <c r="N24" s="99">
        <v>0</v>
      </c>
      <c r="O24" s="100">
        <f t="shared" si="0"/>
        <v>0</v>
      </c>
    </row>
    <row r="25" spans="1:15" ht="14.25">
      <c r="A25" s="94" t="s">
        <v>350</v>
      </c>
      <c r="B25" s="95" t="s">
        <v>310</v>
      </c>
      <c r="C25" s="95" t="s">
        <v>310</v>
      </c>
      <c r="D25" s="352" t="s">
        <v>351</v>
      </c>
      <c r="E25" s="353"/>
      <c r="F25" s="353"/>
      <c r="G25" s="353"/>
      <c r="H25" s="353"/>
      <c r="I25" s="354"/>
      <c r="J25" s="96" t="s">
        <v>223</v>
      </c>
      <c r="K25" s="97">
        <v>3</v>
      </c>
      <c r="L25" s="98" t="s">
        <v>312</v>
      </c>
      <c r="M25" s="371"/>
      <c r="N25" s="99">
        <v>0</v>
      </c>
      <c r="O25" s="100">
        <f t="shared" si="0"/>
        <v>0</v>
      </c>
    </row>
    <row r="26" spans="1:15" ht="14.25">
      <c r="A26" s="94" t="s">
        <v>352</v>
      </c>
      <c r="B26" s="95" t="s">
        <v>310</v>
      </c>
      <c r="C26" s="95" t="s">
        <v>310</v>
      </c>
      <c r="D26" s="352" t="s">
        <v>353</v>
      </c>
      <c r="E26" s="353"/>
      <c r="F26" s="353"/>
      <c r="G26" s="353"/>
      <c r="H26" s="353"/>
      <c r="I26" s="354"/>
      <c r="J26" s="96" t="s">
        <v>138</v>
      </c>
      <c r="K26" s="97">
        <v>54</v>
      </c>
      <c r="L26" s="98" t="s">
        <v>312</v>
      </c>
      <c r="M26" s="371"/>
      <c r="N26" s="99">
        <v>0</v>
      </c>
      <c r="O26" s="100">
        <f t="shared" si="0"/>
        <v>0</v>
      </c>
    </row>
    <row r="27" spans="1:15" ht="14.25">
      <c r="A27" s="94" t="s">
        <v>354</v>
      </c>
      <c r="B27" s="95" t="s">
        <v>310</v>
      </c>
      <c r="C27" s="95" t="s">
        <v>310</v>
      </c>
      <c r="D27" s="352" t="s">
        <v>355</v>
      </c>
      <c r="E27" s="353"/>
      <c r="F27" s="353"/>
      <c r="G27" s="353"/>
      <c r="H27" s="353"/>
      <c r="I27" s="354"/>
      <c r="J27" s="96" t="s">
        <v>138</v>
      </c>
      <c r="K27" s="97">
        <v>18</v>
      </c>
      <c r="L27" s="98" t="s">
        <v>312</v>
      </c>
      <c r="M27" s="371"/>
      <c r="N27" s="99">
        <v>0</v>
      </c>
      <c r="O27" s="100">
        <f t="shared" si="0"/>
        <v>0</v>
      </c>
    </row>
    <row r="28" spans="1:15" ht="14.25">
      <c r="A28" s="94" t="s">
        <v>356</v>
      </c>
      <c r="B28" s="95" t="s">
        <v>310</v>
      </c>
      <c r="C28" s="95" t="s">
        <v>310</v>
      </c>
      <c r="D28" s="352" t="s">
        <v>357</v>
      </c>
      <c r="E28" s="353"/>
      <c r="F28" s="353"/>
      <c r="G28" s="353"/>
      <c r="H28" s="353"/>
      <c r="I28" s="354"/>
      <c r="J28" s="96" t="s">
        <v>138</v>
      </c>
      <c r="K28" s="97">
        <v>54</v>
      </c>
      <c r="L28" s="98" t="s">
        <v>312</v>
      </c>
      <c r="M28" s="371"/>
      <c r="N28" s="99">
        <v>0</v>
      </c>
      <c r="O28" s="100">
        <f t="shared" si="0"/>
        <v>0</v>
      </c>
    </row>
    <row r="29" spans="1:15" ht="14.25">
      <c r="A29" s="94" t="s">
        <v>358</v>
      </c>
      <c r="B29" s="95" t="s">
        <v>310</v>
      </c>
      <c r="C29" s="95" t="s">
        <v>310</v>
      </c>
      <c r="D29" s="352" t="s">
        <v>359</v>
      </c>
      <c r="E29" s="353"/>
      <c r="F29" s="353"/>
      <c r="G29" s="353"/>
      <c r="H29" s="353"/>
      <c r="I29" s="354"/>
      <c r="J29" s="96" t="s">
        <v>138</v>
      </c>
      <c r="K29" s="97">
        <v>3</v>
      </c>
      <c r="L29" s="98" t="s">
        <v>312</v>
      </c>
      <c r="M29" s="371"/>
      <c r="N29" s="99">
        <v>0</v>
      </c>
      <c r="O29" s="100">
        <f t="shared" si="0"/>
        <v>0</v>
      </c>
    </row>
    <row r="30" spans="1:15" ht="14.25">
      <c r="A30" s="94" t="s">
        <v>360</v>
      </c>
      <c r="B30" s="95" t="s">
        <v>310</v>
      </c>
      <c r="C30" s="95" t="s">
        <v>310</v>
      </c>
      <c r="D30" s="352" t="s">
        <v>361</v>
      </c>
      <c r="E30" s="353"/>
      <c r="F30" s="353"/>
      <c r="G30" s="353"/>
      <c r="H30" s="353"/>
      <c r="I30" s="354"/>
      <c r="J30" s="96" t="s">
        <v>138</v>
      </c>
      <c r="K30" s="97">
        <v>3</v>
      </c>
      <c r="L30" s="98" t="s">
        <v>312</v>
      </c>
      <c r="M30" s="371"/>
      <c r="N30" s="99">
        <v>0</v>
      </c>
      <c r="O30" s="100">
        <f t="shared" si="0"/>
        <v>0</v>
      </c>
    </row>
    <row r="31" spans="1:15" ht="14.25">
      <c r="A31" s="94" t="s">
        <v>362</v>
      </c>
      <c r="B31" s="95" t="s">
        <v>310</v>
      </c>
      <c r="C31" s="95" t="s">
        <v>310</v>
      </c>
      <c r="D31" s="352" t="s">
        <v>363</v>
      </c>
      <c r="E31" s="353"/>
      <c r="F31" s="353"/>
      <c r="G31" s="353"/>
      <c r="H31" s="353"/>
      <c r="I31" s="354"/>
      <c r="J31" s="96" t="s">
        <v>138</v>
      </c>
      <c r="K31" s="97">
        <v>3</v>
      </c>
      <c r="L31" s="98" t="s">
        <v>312</v>
      </c>
      <c r="M31" s="371"/>
      <c r="N31" s="99">
        <v>0</v>
      </c>
      <c r="O31" s="100">
        <f t="shared" si="0"/>
        <v>0</v>
      </c>
    </row>
    <row r="32" spans="1:15" ht="14.25">
      <c r="A32" s="94" t="s">
        <v>364</v>
      </c>
      <c r="B32" s="95" t="s">
        <v>310</v>
      </c>
      <c r="C32" s="95" t="s">
        <v>310</v>
      </c>
      <c r="D32" s="352" t="s">
        <v>365</v>
      </c>
      <c r="E32" s="353"/>
      <c r="F32" s="353"/>
      <c r="G32" s="353"/>
      <c r="H32" s="353"/>
      <c r="I32" s="354"/>
      <c r="J32" s="96" t="s">
        <v>138</v>
      </c>
      <c r="K32" s="97">
        <v>6</v>
      </c>
      <c r="L32" s="98" t="s">
        <v>312</v>
      </c>
      <c r="M32" s="371"/>
      <c r="N32" s="99">
        <v>0</v>
      </c>
      <c r="O32" s="100">
        <f t="shared" si="0"/>
        <v>0</v>
      </c>
    </row>
    <row r="33" spans="1:15" ht="14.25">
      <c r="A33" s="101" t="s">
        <v>366</v>
      </c>
      <c r="B33" s="95" t="s">
        <v>310</v>
      </c>
      <c r="C33" s="95" t="s">
        <v>310</v>
      </c>
      <c r="D33" s="352" t="s">
        <v>367</v>
      </c>
      <c r="E33" s="353"/>
      <c r="F33" s="353"/>
      <c r="G33" s="353"/>
      <c r="H33" s="353"/>
      <c r="I33" s="354"/>
      <c r="J33" s="96" t="s">
        <v>223</v>
      </c>
      <c r="K33" s="97">
        <v>3</v>
      </c>
      <c r="L33" s="98" t="s">
        <v>312</v>
      </c>
      <c r="M33" s="371"/>
      <c r="N33" s="102">
        <v>0</v>
      </c>
      <c r="O33" s="103">
        <f t="shared" si="0"/>
        <v>0</v>
      </c>
    </row>
    <row r="34" spans="1:15" ht="14.25">
      <c r="A34" s="101" t="s">
        <v>368</v>
      </c>
      <c r="B34" s="95" t="s">
        <v>310</v>
      </c>
      <c r="C34" s="95" t="s">
        <v>310</v>
      </c>
      <c r="D34" s="352" t="s">
        <v>369</v>
      </c>
      <c r="E34" s="353"/>
      <c r="F34" s="353"/>
      <c r="G34" s="353"/>
      <c r="H34" s="353"/>
      <c r="I34" s="354"/>
      <c r="J34" s="96" t="s">
        <v>223</v>
      </c>
      <c r="K34" s="97">
        <v>6</v>
      </c>
      <c r="L34" s="98" t="s">
        <v>312</v>
      </c>
      <c r="M34" s="371"/>
      <c r="N34" s="102">
        <v>0</v>
      </c>
      <c r="O34" s="103">
        <f t="shared" si="0"/>
        <v>0</v>
      </c>
    </row>
    <row r="35" spans="1:15" ht="14.25">
      <c r="A35" s="101" t="s">
        <v>370</v>
      </c>
      <c r="B35" s="95" t="s">
        <v>310</v>
      </c>
      <c r="C35" s="95" t="s">
        <v>310</v>
      </c>
      <c r="D35" s="352" t="s">
        <v>371</v>
      </c>
      <c r="E35" s="353"/>
      <c r="F35" s="353"/>
      <c r="G35" s="353"/>
      <c r="H35" s="353"/>
      <c r="I35" s="354"/>
      <c r="J35" s="96" t="s">
        <v>223</v>
      </c>
      <c r="K35" s="97">
        <v>1</v>
      </c>
      <c r="L35" s="98" t="s">
        <v>312</v>
      </c>
      <c r="M35" s="371"/>
      <c r="N35" s="102">
        <v>0</v>
      </c>
      <c r="O35" s="103">
        <f t="shared" si="0"/>
        <v>0</v>
      </c>
    </row>
    <row r="36" spans="1:15" ht="14.25">
      <c r="A36" s="101" t="s">
        <v>370</v>
      </c>
      <c r="B36" s="95" t="s">
        <v>310</v>
      </c>
      <c r="C36" s="95" t="s">
        <v>310</v>
      </c>
      <c r="D36" s="352" t="s">
        <v>372</v>
      </c>
      <c r="E36" s="353"/>
      <c r="F36" s="353"/>
      <c r="G36" s="353"/>
      <c r="H36" s="353"/>
      <c r="I36" s="354"/>
      <c r="J36" s="96" t="s">
        <v>373</v>
      </c>
      <c r="K36" s="97">
        <v>24</v>
      </c>
      <c r="L36" s="98" t="s">
        <v>374</v>
      </c>
      <c r="M36" s="371"/>
      <c r="N36" s="102">
        <v>0</v>
      </c>
      <c r="O36" s="103">
        <f t="shared" si="0"/>
        <v>0</v>
      </c>
    </row>
    <row r="37" spans="1:15" ht="14.25">
      <c r="A37" s="101" t="s">
        <v>375</v>
      </c>
      <c r="B37" s="95" t="s">
        <v>310</v>
      </c>
      <c r="C37" s="95" t="s">
        <v>310</v>
      </c>
      <c r="D37" s="352" t="s">
        <v>376</v>
      </c>
      <c r="E37" s="353"/>
      <c r="F37" s="353"/>
      <c r="G37" s="353"/>
      <c r="H37" s="353"/>
      <c r="I37" s="354"/>
      <c r="J37" s="96" t="s">
        <v>223</v>
      </c>
      <c r="K37" s="97">
        <v>1</v>
      </c>
      <c r="L37" s="98" t="s">
        <v>312</v>
      </c>
      <c r="M37" s="371"/>
      <c r="N37" s="102">
        <v>0</v>
      </c>
      <c r="O37" s="103">
        <f t="shared" si="0"/>
        <v>0</v>
      </c>
    </row>
    <row r="38" spans="1:15" ht="14.25">
      <c r="A38" s="101" t="s">
        <v>377</v>
      </c>
      <c r="B38" s="104" t="s">
        <v>310</v>
      </c>
      <c r="C38" s="104" t="s">
        <v>310</v>
      </c>
      <c r="D38" s="357" t="s">
        <v>378</v>
      </c>
      <c r="E38" s="358"/>
      <c r="F38" s="358"/>
      <c r="G38" s="358"/>
      <c r="H38" s="358"/>
      <c r="I38" s="358"/>
      <c r="J38" s="105" t="s">
        <v>373</v>
      </c>
      <c r="K38" s="106">
        <v>320</v>
      </c>
      <c r="L38" s="107" t="s">
        <v>379</v>
      </c>
      <c r="M38" s="371"/>
      <c r="N38" s="102">
        <v>0</v>
      </c>
      <c r="O38" s="103">
        <f t="shared" si="0"/>
        <v>0</v>
      </c>
    </row>
    <row r="39" spans="1:15" ht="14.25">
      <c r="A39" s="108" t="s">
        <v>380</v>
      </c>
      <c r="B39" s="95" t="s">
        <v>310</v>
      </c>
      <c r="C39" s="95" t="s">
        <v>310</v>
      </c>
      <c r="D39" s="355" t="s">
        <v>381</v>
      </c>
      <c r="E39" s="356"/>
      <c r="F39" s="356"/>
      <c r="G39" s="356"/>
      <c r="H39" s="356"/>
      <c r="I39" s="356"/>
      <c r="J39" s="109" t="s">
        <v>223</v>
      </c>
      <c r="K39" s="110">
        <v>1</v>
      </c>
      <c r="L39" s="111" t="s">
        <v>312</v>
      </c>
      <c r="M39" s="371"/>
      <c r="N39" s="99">
        <v>0</v>
      </c>
      <c r="O39" s="100">
        <f t="shared" si="0"/>
        <v>0</v>
      </c>
    </row>
    <row r="40" spans="1:15" ht="15" thickBot="1">
      <c r="A40" s="112" t="s">
        <v>382</v>
      </c>
      <c r="B40" s="113" t="s">
        <v>310</v>
      </c>
      <c r="C40" s="113" t="s">
        <v>310</v>
      </c>
      <c r="D40" s="347" t="s">
        <v>383</v>
      </c>
      <c r="E40" s="348"/>
      <c r="F40" s="348"/>
      <c r="G40" s="348"/>
      <c r="H40" s="348"/>
      <c r="I40" s="348"/>
      <c r="J40" s="114" t="s">
        <v>223</v>
      </c>
      <c r="K40" s="115">
        <v>5</v>
      </c>
      <c r="L40" s="116" t="s">
        <v>312</v>
      </c>
      <c r="M40" s="371"/>
      <c r="N40" s="117">
        <v>0</v>
      </c>
      <c r="O40" s="118">
        <f t="shared" si="0"/>
        <v>0</v>
      </c>
    </row>
    <row r="41" spans="1:15" ht="15" thickBot="1">
      <c r="A41" s="359" t="s">
        <v>384</v>
      </c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77" t="s">
        <v>308</v>
      </c>
      <c r="O41" s="78">
        <f>SUM(O42:O49)</f>
        <v>0</v>
      </c>
    </row>
    <row r="42" spans="1:15" ht="14.25">
      <c r="A42" s="119" t="s">
        <v>385</v>
      </c>
      <c r="B42" s="120" t="s">
        <v>310</v>
      </c>
      <c r="C42" s="120" t="s">
        <v>310</v>
      </c>
      <c r="D42" s="349" t="s">
        <v>386</v>
      </c>
      <c r="E42" s="350"/>
      <c r="F42" s="350"/>
      <c r="G42" s="350"/>
      <c r="H42" s="350"/>
      <c r="I42" s="351"/>
      <c r="J42" s="121" t="s">
        <v>223</v>
      </c>
      <c r="K42" s="122">
        <v>1</v>
      </c>
      <c r="L42" s="123" t="s">
        <v>312</v>
      </c>
      <c r="M42" s="124"/>
      <c r="N42" s="125">
        <v>0</v>
      </c>
      <c r="O42" s="126">
        <f aca="true" t="shared" si="1" ref="O42:O48">K42*N42</f>
        <v>0</v>
      </c>
    </row>
    <row r="43" spans="1:15" ht="14.25">
      <c r="A43" s="119" t="s">
        <v>387</v>
      </c>
      <c r="B43" s="120" t="s">
        <v>310</v>
      </c>
      <c r="C43" s="120" t="s">
        <v>310</v>
      </c>
      <c r="D43" s="349" t="s">
        <v>388</v>
      </c>
      <c r="E43" s="350"/>
      <c r="F43" s="350"/>
      <c r="G43" s="350"/>
      <c r="H43" s="350"/>
      <c r="I43" s="351"/>
      <c r="J43" s="121" t="s">
        <v>223</v>
      </c>
      <c r="K43" s="122">
        <v>1</v>
      </c>
      <c r="L43" s="123" t="s">
        <v>312</v>
      </c>
      <c r="M43" s="124"/>
      <c r="N43" s="125">
        <v>0</v>
      </c>
      <c r="O43" s="126">
        <f t="shared" si="1"/>
        <v>0</v>
      </c>
    </row>
    <row r="44" spans="1:15" ht="14.25">
      <c r="A44" s="119" t="s">
        <v>389</v>
      </c>
      <c r="B44" s="120" t="s">
        <v>310</v>
      </c>
      <c r="C44" s="120" t="s">
        <v>310</v>
      </c>
      <c r="D44" s="349" t="s">
        <v>390</v>
      </c>
      <c r="E44" s="350"/>
      <c r="F44" s="350"/>
      <c r="G44" s="350"/>
      <c r="H44" s="350"/>
      <c r="I44" s="351"/>
      <c r="J44" s="121" t="s">
        <v>223</v>
      </c>
      <c r="K44" s="122">
        <v>1</v>
      </c>
      <c r="L44" s="123" t="s">
        <v>312</v>
      </c>
      <c r="M44" s="124"/>
      <c r="N44" s="125">
        <v>0</v>
      </c>
      <c r="O44" s="126">
        <f t="shared" si="1"/>
        <v>0</v>
      </c>
    </row>
    <row r="45" spans="1:15" ht="14.25">
      <c r="A45" s="94" t="s">
        <v>391</v>
      </c>
      <c r="B45" s="95" t="s">
        <v>310</v>
      </c>
      <c r="C45" s="95" t="s">
        <v>310</v>
      </c>
      <c r="D45" s="352" t="s">
        <v>392</v>
      </c>
      <c r="E45" s="353"/>
      <c r="F45" s="353"/>
      <c r="G45" s="353"/>
      <c r="H45" s="353"/>
      <c r="I45" s="354"/>
      <c r="J45" s="96" t="s">
        <v>138</v>
      </c>
      <c r="K45" s="97">
        <v>4</v>
      </c>
      <c r="L45" s="98" t="s">
        <v>312</v>
      </c>
      <c r="M45" s="124"/>
      <c r="N45" s="99">
        <v>0</v>
      </c>
      <c r="O45" s="100">
        <f t="shared" si="1"/>
        <v>0</v>
      </c>
    </row>
    <row r="46" spans="1:15" ht="14.25">
      <c r="A46" s="94" t="s">
        <v>393</v>
      </c>
      <c r="B46" s="95" t="s">
        <v>310</v>
      </c>
      <c r="C46" s="95" t="s">
        <v>310</v>
      </c>
      <c r="D46" s="352" t="s">
        <v>394</v>
      </c>
      <c r="E46" s="353"/>
      <c r="F46" s="353"/>
      <c r="G46" s="353"/>
      <c r="H46" s="353"/>
      <c r="I46" s="354"/>
      <c r="J46" s="96" t="s">
        <v>138</v>
      </c>
      <c r="K46" s="97">
        <v>11</v>
      </c>
      <c r="L46" s="98" t="s">
        <v>312</v>
      </c>
      <c r="M46" s="124"/>
      <c r="N46" s="99">
        <v>0</v>
      </c>
      <c r="O46" s="100">
        <f t="shared" si="1"/>
        <v>0</v>
      </c>
    </row>
    <row r="47" spans="1:15" ht="14.25">
      <c r="A47" s="94" t="s">
        <v>395</v>
      </c>
      <c r="B47" s="95" t="s">
        <v>310</v>
      </c>
      <c r="C47" s="95" t="s">
        <v>310</v>
      </c>
      <c r="D47" s="352" t="s">
        <v>396</v>
      </c>
      <c r="E47" s="353"/>
      <c r="F47" s="353"/>
      <c r="G47" s="353"/>
      <c r="H47" s="353"/>
      <c r="I47" s="354"/>
      <c r="J47" s="96" t="s">
        <v>373</v>
      </c>
      <c r="K47" s="97">
        <v>0</v>
      </c>
      <c r="L47" s="98" t="s">
        <v>397</v>
      </c>
      <c r="M47" s="124"/>
      <c r="N47" s="99">
        <v>0</v>
      </c>
      <c r="O47" s="100">
        <f t="shared" si="1"/>
        <v>0</v>
      </c>
    </row>
    <row r="48" spans="1:15" ht="14.25">
      <c r="A48" s="108" t="s">
        <v>398</v>
      </c>
      <c r="B48" s="95" t="s">
        <v>310</v>
      </c>
      <c r="C48" s="95" t="s">
        <v>310</v>
      </c>
      <c r="D48" s="355" t="s">
        <v>399</v>
      </c>
      <c r="E48" s="356"/>
      <c r="F48" s="356"/>
      <c r="G48" s="356"/>
      <c r="H48" s="356"/>
      <c r="I48" s="356"/>
      <c r="J48" s="109" t="s">
        <v>223</v>
      </c>
      <c r="K48" s="110">
        <v>0</v>
      </c>
      <c r="L48" s="98" t="s">
        <v>400</v>
      </c>
      <c r="M48" s="124"/>
      <c r="N48" s="99">
        <v>0</v>
      </c>
      <c r="O48" s="100">
        <f t="shared" si="1"/>
        <v>0</v>
      </c>
    </row>
    <row r="49" spans="1:15" ht="15" thickBot="1">
      <c r="A49" s="112" t="s">
        <v>342</v>
      </c>
      <c r="B49" s="113" t="s">
        <v>310</v>
      </c>
      <c r="C49" s="113" t="s">
        <v>310</v>
      </c>
      <c r="D49" s="347" t="s">
        <v>383</v>
      </c>
      <c r="E49" s="348"/>
      <c r="F49" s="348"/>
      <c r="G49" s="348"/>
      <c r="H49" s="348"/>
      <c r="I49" s="348"/>
      <c r="J49" s="114" t="s">
        <v>223</v>
      </c>
      <c r="K49" s="115">
        <v>0</v>
      </c>
      <c r="L49" s="116" t="s">
        <v>401</v>
      </c>
      <c r="M49" s="127"/>
      <c r="N49" s="117">
        <v>0</v>
      </c>
      <c r="O49" s="118">
        <f t="shared" si="0"/>
        <v>0</v>
      </c>
    </row>
    <row r="50" spans="1:15" s="425" customFormat="1" ht="15.75" thickBot="1">
      <c r="A50" s="419" t="s">
        <v>402</v>
      </c>
      <c r="B50" s="420"/>
      <c r="C50" s="420"/>
      <c r="D50" s="421"/>
      <c r="E50" s="421"/>
      <c r="F50" s="421"/>
      <c r="G50" s="421"/>
      <c r="H50" s="421"/>
      <c r="I50" s="421"/>
      <c r="J50" s="421"/>
      <c r="K50" s="421"/>
      <c r="L50" s="422"/>
      <c r="M50" s="422"/>
      <c r="N50" s="423"/>
      <c r="O50" s="424">
        <f>O5+O41</f>
        <v>0</v>
      </c>
    </row>
    <row r="51" spans="1:15" ht="14.25">
      <c r="A51" s="128" t="s">
        <v>403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1:15" ht="14.25">
      <c r="A52" s="128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</row>
    <row r="53" spans="1:15" ht="14.25">
      <c r="A53" s="128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</row>
  </sheetData>
  <sheetProtection/>
  <mergeCells count="58">
    <mergeCell ref="A1:D1"/>
    <mergeCell ref="E1:O1"/>
    <mergeCell ref="A2:A4"/>
    <mergeCell ref="B2:C2"/>
    <mergeCell ref="D2:I4"/>
    <mergeCell ref="J2:J4"/>
    <mergeCell ref="K2:K4"/>
    <mergeCell ref="L2:L4"/>
    <mergeCell ref="M2:M4"/>
    <mergeCell ref="N2:O3"/>
    <mergeCell ref="B3:C3"/>
    <mergeCell ref="A5:M5"/>
    <mergeCell ref="D6:I6"/>
    <mergeCell ref="M6:M40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A41:M41"/>
    <mergeCell ref="D42:I42"/>
    <mergeCell ref="D49:I49"/>
    <mergeCell ref="A50:N50"/>
    <mergeCell ref="D43:I43"/>
    <mergeCell ref="D44:I44"/>
    <mergeCell ref="D45:I45"/>
    <mergeCell ref="D46:I46"/>
    <mergeCell ref="D47:I47"/>
    <mergeCell ref="D48:I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="80" zoomScaleNormal="80" zoomScalePageLayoutView="0" workbookViewId="0" topLeftCell="A1">
      <selection activeCell="N25" sqref="N25"/>
    </sheetView>
  </sheetViews>
  <sheetFormatPr defaultColWidth="9.140625" defaultRowHeight="12.75"/>
  <cols>
    <col min="14" max="14" width="15.421875" style="0" customWidth="1"/>
    <col min="15" max="15" width="15.28125" style="0" customWidth="1"/>
  </cols>
  <sheetData>
    <row r="1" spans="1:15" s="238" customFormat="1" ht="14.25">
      <c r="A1" s="411"/>
      <c r="B1" s="412"/>
      <c r="C1" s="412"/>
      <c r="D1" s="413"/>
      <c r="E1" s="414" t="s">
        <v>688</v>
      </c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2" spans="1:15" ht="12.75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2">
      <c r="A3" s="378" t="s">
        <v>298</v>
      </c>
      <c r="B3" s="381" t="s">
        <v>157</v>
      </c>
      <c r="C3" s="382"/>
      <c r="D3" s="383" t="s">
        <v>216</v>
      </c>
      <c r="E3" s="384"/>
      <c r="F3" s="384"/>
      <c r="G3" s="384"/>
      <c r="H3" s="384"/>
      <c r="I3" s="385"/>
      <c r="J3" s="392" t="s">
        <v>299</v>
      </c>
      <c r="K3" s="395" t="s">
        <v>142</v>
      </c>
      <c r="L3" s="398" t="s">
        <v>300</v>
      </c>
      <c r="M3" s="398" t="s">
        <v>301</v>
      </c>
      <c r="N3" s="410" t="s">
        <v>404</v>
      </c>
      <c r="O3" s="404"/>
    </row>
    <row r="4" spans="1:15" ht="12">
      <c r="A4" s="379"/>
      <c r="B4" s="364" t="s">
        <v>158</v>
      </c>
      <c r="C4" s="365"/>
      <c r="D4" s="386"/>
      <c r="E4" s="387"/>
      <c r="F4" s="387"/>
      <c r="G4" s="387"/>
      <c r="H4" s="387"/>
      <c r="I4" s="388"/>
      <c r="J4" s="393"/>
      <c r="K4" s="396"/>
      <c r="L4" s="399"/>
      <c r="M4" s="401"/>
      <c r="N4" s="405"/>
      <c r="O4" s="406"/>
    </row>
    <row r="5" spans="1:15" ht="12.75" thickBot="1">
      <c r="A5" s="380"/>
      <c r="B5" s="74" t="s">
        <v>303</v>
      </c>
      <c r="C5" s="74" t="s">
        <v>304</v>
      </c>
      <c r="D5" s="389"/>
      <c r="E5" s="390"/>
      <c r="F5" s="390"/>
      <c r="G5" s="390"/>
      <c r="H5" s="390"/>
      <c r="I5" s="391"/>
      <c r="J5" s="394"/>
      <c r="K5" s="397"/>
      <c r="L5" s="400"/>
      <c r="M5" s="402"/>
      <c r="N5" s="75" t="s">
        <v>305</v>
      </c>
      <c r="O5" s="76" t="s">
        <v>306</v>
      </c>
    </row>
    <row r="6" spans="1:15" ht="15" thickBot="1">
      <c r="A6" s="366" t="s">
        <v>405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77" t="s">
        <v>308</v>
      </c>
      <c r="O6" s="78">
        <f>SUM(O7:O23)</f>
        <v>0</v>
      </c>
    </row>
    <row r="7" spans="1:15" ht="14.25">
      <c r="A7" s="119" t="s">
        <v>309</v>
      </c>
      <c r="B7" s="120" t="s">
        <v>310</v>
      </c>
      <c r="C7" s="120" t="s">
        <v>310</v>
      </c>
      <c r="D7" s="349" t="s">
        <v>406</v>
      </c>
      <c r="E7" s="350"/>
      <c r="F7" s="350"/>
      <c r="G7" s="350"/>
      <c r="H7" s="350"/>
      <c r="I7" s="351"/>
      <c r="J7" s="121" t="s">
        <v>223</v>
      </c>
      <c r="K7" s="122">
        <v>1</v>
      </c>
      <c r="L7" s="123" t="s">
        <v>312</v>
      </c>
      <c r="M7" s="371" t="s">
        <v>407</v>
      </c>
      <c r="N7" s="125">
        <v>0</v>
      </c>
      <c r="O7" s="126">
        <f aca="true" t="shared" si="0" ref="O7:O23">K7*N7</f>
        <v>0</v>
      </c>
    </row>
    <row r="8" spans="1:15" ht="14.25">
      <c r="A8" s="94" t="s">
        <v>314</v>
      </c>
      <c r="B8" s="95" t="s">
        <v>310</v>
      </c>
      <c r="C8" s="95" t="s">
        <v>310</v>
      </c>
      <c r="D8" s="409" t="s">
        <v>408</v>
      </c>
      <c r="E8" s="353"/>
      <c r="F8" s="353"/>
      <c r="G8" s="353"/>
      <c r="H8" s="353"/>
      <c r="I8" s="354"/>
      <c r="J8" s="131" t="s">
        <v>223</v>
      </c>
      <c r="K8" s="97">
        <v>1</v>
      </c>
      <c r="L8" s="98" t="s">
        <v>312</v>
      </c>
      <c r="M8" s="371"/>
      <c r="N8" s="99">
        <v>0</v>
      </c>
      <c r="O8" s="100">
        <f t="shared" si="0"/>
        <v>0</v>
      </c>
    </row>
    <row r="9" spans="1:15" ht="14.25">
      <c r="A9" s="94" t="s">
        <v>316</v>
      </c>
      <c r="B9" s="95" t="s">
        <v>310</v>
      </c>
      <c r="C9" s="95" t="s">
        <v>310</v>
      </c>
      <c r="D9" s="409" t="s">
        <v>409</v>
      </c>
      <c r="E9" s="353"/>
      <c r="F9" s="353"/>
      <c r="G9" s="353"/>
      <c r="H9" s="353"/>
      <c r="I9" s="354"/>
      <c r="J9" s="131" t="s">
        <v>223</v>
      </c>
      <c r="K9" s="97">
        <v>1</v>
      </c>
      <c r="L9" s="98" t="s">
        <v>312</v>
      </c>
      <c r="M9" s="371"/>
      <c r="N9" s="99">
        <v>0</v>
      </c>
      <c r="O9" s="100">
        <f t="shared" si="0"/>
        <v>0</v>
      </c>
    </row>
    <row r="10" spans="1:15" ht="14.25">
      <c r="A10" s="94" t="s">
        <v>318</v>
      </c>
      <c r="B10" s="95" t="s">
        <v>310</v>
      </c>
      <c r="C10" s="95" t="s">
        <v>310</v>
      </c>
      <c r="D10" s="409" t="s">
        <v>410</v>
      </c>
      <c r="E10" s="353"/>
      <c r="F10" s="353"/>
      <c r="G10" s="353"/>
      <c r="H10" s="353"/>
      <c r="I10" s="354"/>
      <c r="J10" s="96" t="s">
        <v>223</v>
      </c>
      <c r="K10" s="97">
        <v>1</v>
      </c>
      <c r="L10" s="98" t="s">
        <v>312</v>
      </c>
      <c r="M10" s="371"/>
      <c r="N10" s="99">
        <v>0</v>
      </c>
      <c r="O10" s="100">
        <f t="shared" si="0"/>
        <v>0</v>
      </c>
    </row>
    <row r="11" spans="1:15" ht="14.25">
      <c r="A11" s="94" t="s">
        <v>320</v>
      </c>
      <c r="B11" s="95" t="s">
        <v>310</v>
      </c>
      <c r="C11" s="95" t="s">
        <v>310</v>
      </c>
      <c r="D11" s="352" t="s">
        <v>411</v>
      </c>
      <c r="E11" s="353"/>
      <c r="F11" s="353"/>
      <c r="G11" s="353"/>
      <c r="H11" s="353"/>
      <c r="I11" s="354"/>
      <c r="J11" s="96" t="s">
        <v>223</v>
      </c>
      <c r="K11" s="97">
        <v>1</v>
      </c>
      <c r="L11" s="98" t="s">
        <v>312</v>
      </c>
      <c r="M11" s="371"/>
      <c r="N11" s="99">
        <v>0</v>
      </c>
      <c r="O11" s="100">
        <f t="shared" si="0"/>
        <v>0</v>
      </c>
    </row>
    <row r="12" spans="1:15" ht="14.25">
      <c r="A12" s="94" t="s">
        <v>322</v>
      </c>
      <c r="B12" s="95" t="s">
        <v>310</v>
      </c>
      <c r="C12" s="95" t="s">
        <v>310</v>
      </c>
      <c r="D12" s="352" t="s">
        <v>412</v>
      </c>
      <c r="E12" s="353"/>
      <c r="F12" s="353"/>
      <c r="G12" s="353"/>
      <c r="H12" s="353"/>
      <c r="I12" s="354"/>
      <c r="J12" s="96" t="s">
        <v>223</v>
      </c>
      <c r="K12" s="97">
        <v>1</v>
      </c>
      <c r="L12" s="98" t="s">
        <v>312</v>
      </c>
      <c r="M12" s="371"/>
      <c r="N12" s="99">
        <v>0</v>
      </c>
      <c r="O12" s="100">
        <f t="shared" si="0"/>
        <v>0</v>
      </c>
    </row>
    <row r="13" spans="1:15" ht="14.25">
      <c r="A13" s="94" t="s">
        <v>324</v>
      </c>
      <c r="B13" s="95" t="s">
        <v>310</v>
      </c>
      <c r="C13" s="95" t="s">
        <v>310</v>
      </c>
      <c r="D13" s="352" t="s">
        <v>413</v>
      </c>
      <c r="E13" s="353"/>
      <c r="F13" s="353"/>
      <c r="G13" s="353"/>
      <c r="H13" s="353"/>
      <c r="I13" s="354"/>
      <c r="J13" s="96" t="s">
        <v>223</v>
      </c>
      <c r="K13" s="97">
        <v>1</v>
      </c>
      <c r="L13" s="98" t="s">
        <v>312</v>
      </c>
      <c r="M13" s="371"/>
      <c r="N13" s="99">
        <v>0</v>
      </c>
      <c r="O13" s="100">
        <f t="shared" si="0"/>
        <v>0</v>
      </c>
    </row>
    <row r="14" spans="1:15" ht="14.25">
      <c r="A14" s="94" t="s">
        <v>326</v>
      </c>
      <c r="B14" s="95" t="s">
        <v>310</v>
      </c>
      <c r="C14" s="95" t="s">
        <v>310</v>
      </c>
      <c r="D14" s="352" t="s">
        <v>414</v>
      </c>
      <c r="E14" s="353"/>
      <c r="F14" s="353"/>
      <c r="G14" s="353"/>
      <c r="H14" s="353"/>
      <c r="I14" s="354"/>
      <c r="J14" s="96" t="s">
        <v>223</v>
      </c>
      <c r="K14" s="97">
        <v>1</v>
      </c>
      <c r="L14" s="98" t="s">
        <v>312</v>
      </c>
      <c r="M14" s="371"/>
      <c r="N14" s="99">
        <v>0</v>
      </c>
      <c r="O14" s="100">
        <f t="shared" si="0"/>
        <v>0</v>
      </c>
    </row>
    <row r="15" spans="1:15" ht="14.25">
      <c r="A15" s="94" t="s">
        <v>328</v>
      </c>
      <c r="B15" s="95" t="s">
        <v>310</v>
      </c>
      <c r="C15" s="95" t="s">
        <v>310</v>
      </c>
      <c r="D15" s="352" t="s">
        <v>415</v>
      </c>
      <c r="E15" s="353"/>
      <c r="F15" s="353"/>
      <c r="G15" s="353"/>
      <c r="H15" s="353"/>
      <c r="I15" s="354"/>
      <c r="J15" s="96" t="s">
        <v>223</v>
      </c>
      <c r="K15" s="97">
        <v>1</v>
      </c>
      <c r="L15" s="98" t="s">
        <v>312</v>
      </c>
      <c r="M15" s="371"/>
      <c r="N15" s="99">
        <v>0</v>
      </c>
      <c r="O15" s="100">
        <f t="shared" si="0"/>
        <v>0</v>
      </c>
    </row>
    <row r="16" spans="1:15" ht="14.25">
      <c r="A16" s="94" t="s">
        <v>330</v>
      </c>
      <c r="B16" s="95" t="s">
        <v>310</v>
      </c>
      <c r="C16" s="95" t="s">
        <v>310</v>
      </c>
      <c r="D16" s="352" t="s">
        <v>416</v>
      </c>
      <c r="E16" s="353"/>
      <c r="F16" s="353"/>
      <c r="G16" s="353"/>
      <c r="H16" s="353"/>
      <c r="I16" s="354"/>
      <c r="J16" s="96" t="s">
        <v>223</v>
      </c>
      <c r="K16" s="97">
        <v>1</v>
      </c>
      <c r="L16" s="98" t="s">
        <v>312</v>
      </c>
      <c r="M16" s="371"/>
      <c r="N16" s="99">
        <v>0</v>
      </c>
      <c r="O16" s="100">
        <f t="shared" si="0"/>
        <v>0</v>
      </c>
    </row>
    <row r="17" spans="1:15" ht="14.25">
      <c r="A17" s="94" t="s">
        <v>332</v>
      </c>
      <c r="B17" s="95" t="s">
        <v>310</v>
      </c>
      <c r="C17" s="95" t="s">
        <v>310</v>
      </c>
      <c r="D17" s="352" t="s">
        <v>417</v>
      </c>
      <c r="E17" s="353"/>
      <c r="F17" s="353"/>
      <c r="G17" s="353"/>
      <c r="H17" s="353"/>
      <c r="I17" s="354"/>
      <c r="J17" s="96" t="s">
        <v>223</v>
      </c>
      <c r="K17" s="97">
        <v>1</v>
      </c>
      <c r="L17" s="98" t="s">
        <v>312</v>
      </c>
      <c r="M17" s="371"/>
      <c r="N17" s="99">
        <v>0</v>
      </c>
      <c r="O17" s="100">
        <f t="shared" si="0"/>
        <v>0</v>
      </c>
    </row>
    <row r="18" spans="1:15" ht="57.75">
      <c r="A18" s="94" t="s">
        <v>334</v>
      </c>
      <c r="B18" s="95" t="s">
        <v>310</v>
      </c>
      <c r="C18" s="95" t="s">
        <v>310</v>
      </c>
      <c r="D18" s="352" t="s">
        <v>418</v>
      </c>
      <c r="E18" s="353"/>
      <c r="F18" s="353"/>
      <c r="G18" s="353"/>
      <c r="H18" s="353"/>
      <c r="I18" s="354"/>
      <c r="J18" s="96" t="s">
        <v>138</v>
      </c>
      <c r="K18" s="97">
        <v>30</v>
      </c>
      <c r="L18" s="132" t="s">
        <v>419</v>
      </c>
      <c r="M18" s="371"/>
      <c r="N18" s="99">
        <v>0</v>
      </c>
      <c r="O18" s="100">
        <f t="shared" si="0"/>
        <v>0</v>
      </c>
    </row>
    <row r="19" spans="1:15" ht="14.25">
      <c r="A19" s="101" t="s">
        <v>336</v>
      </c>
      <c r="B19" s="95" t="s">
        <v>310</v>
      </c>
      <c r="C19" s="95" t="s">
        <v>310</v>
      </c>
      <c r="D19" s="352" t="s">
        <v>420</v>
      </c>
      <c r="E19" s="407"/>
      <c r="F19" s="407"/>
      <c r="G19" s="407"/>
      <c r="H19" s="407"/>
      <c r="I19" s="408"/>
      <c r="J19" s="96" t="s">
        <v>223</v>
      </c>
      <c r="K19" s="133">
        <v>1</v>
      </c>
      <c r="L19" s="98" t="s">
        <v>312</v>
      </c>
      <c r="M19" s="371"/>
      <c r="N19" s="134">
        <v>0</v>
      </c>
      <c r="O19" s="135">
        <f t="shared" si="0"/>
        <v>0</v>
      </c>
    </row>
    <row r="20" spans="1:15" ht="14.25">
      <c r="A20" s="101" t="s">
        <v>338</v>
      </c>
      <c r="B20" s="95" t="s">
        <v>310</v>
      </c>
      <c r="C20" s="95" t="s">
        <v>310</v>
      </c>
      <c r="D20" s="352" t="s">
        <v>421</v>
      </c>
      <c r="E20" s="353"/>
      <c r="F20" s="353"/>
      <c r="G20" s="353"/>
      <c r="H20" s="353"/>
      <c r="I20" s="354"/>
      <c r="J20" s="96" t="s">
        <v>223</v>
      </c>
      <c r="K20" s="97">
        <v>2</v>
      </c>
      <c r="L20" s="98" t="s">
        <v>312</v>
      </c>
      <c r="M20" s="371"/>
      <c r="N20" s="102">
        <v>0</v>
      </c>
      <c r="O20" s="103">
        <f t="shared" si="0"/>
        <v>0</v>
      </c>
    </row>
    <row r="21" spans="1:15" ht="14.25">
      <c r="A21" s="101" t="s">
        <v>340</v>
      </c>
      <c r="B21" s="104" t="s">
        <v>310</v>
      </c>
      <c r="C21" s="104" t="s">
        <v>310</v>
      </c>
      <c r="D21" s="357" t="s">
        <v>422</v>
      </c>
      <c r="E21" s="358"/>
      <c r="F21" s="358"/>
      <c r="G21" s="358"/>
      <c r="H21" s="358"/>
      <c r="I21" s="358"/>
      <c r="J21" s="105" t="s">
        <v>373</v>
      </c>
      <c r="K21" s="106">
        <v>32</v>
      </c>
      <c r="L21" s="107" t="s">
        <v>423</v>
      </c>
      <c r="M21" s="371"/>
      <c r="N21" s="102">
        <v>0</v>
      </c>
      <c r="O21" s="103">
        <f t="shared" si="0"/>
        <v>0</v>
      </c>
    </row>
    <row r="22" spans="1:15" ht="14.25">
      <c r="A22" s="108" t="s">
        <v>342</v>
      </c>
      <c r="B22" s="95" t="s">
        <v>310</v>
      </c>
      <c r="C22" s="95" t="s">
        <v>310</v>
      </c>
      <c r="D22" s="355" t="s">
        <v>424</v>
      </c>
      <c r="E22" s="356"/>
      <c r="F22" s="356"/>
      <c r="G22" s="356"/>
      <c r="H22" s="356"/>
      <c r="I22" s="356"/>
      <c r="J22" s="109" t="s">
        <v>223</v>
      </c>
      <c r="K22" s="110">
        <v>1</v>
      </c>
      <c r="L22" s="111" t="s">
        <v>312</v>
      </c>
      <c r="M22" s="371"/>
      <c r="N22" s="99">
        <v>0</v>
      </c>
      <c r="O22" s="100">
        <f t="shared" si="0"/>
        <v>0</v>
      </c>
    </row>
    <row r="23" spans="1:15" ht="15" thickBot="1">
      <c r="A23" s="112" t="s">
        <v>344</v>
      </c>
      <c r="B23" s="113" t="s">
        <v>310</v>
      </c>
      <c r="C23" s="113" t="s">
        <v>310</v>
      </c>
      <c r="D23" s="347" t="s">
        <v>425</v>
      </c>
      <c r="E23" s="348"/>
      <c r="F23" s="348"/>
      <c r="G23" s="348"/>
      <c r="H23" s="348"/>
      <c r="I23" s="348"/>
      <c r="J23" s="114" t="s">
        <v>223</v>
      </c>
      <c r="K23" s="115">
        <v>5</v>
      </c>
      <c r="L23" s="116" t="s">
        <v>312</v>
      </c>
      <c r="M23" s="416"/>
      <c r="N23" s="117">
        <v>0</v>
      </c>
      <c r="O23" s="118">
        <f t="shared" si="0"/>
        <v>0</v>
      </c>
    </row>
    <row r="24" spans="1:15" s="425" customFormat="1" ht="15.75" thickBot="1">
      <c r="A24" s="419" t="s">
        <v>402</v>
      </c>
      <c r="B24" s="420"/>
      <c r="C24" s="420"/>
      <c r="D24" s="421"/>
      <c r="E24" s="421"/>
      <c r="F24" s="421"/>
      <c r="G24" s="421"/>
      <c r="H24" s="421"/>
      <c r="I24" s="421"/>
      <c r="J24" s="421"/>
      <c r="K24" s="421"/>
      <c r="L24" s="422"/>
      <c r="M24" s="422"/>
      <c r="N24" s="423"/>
      <c r="O24" s="424">
        <f>O6</f>
        <v>0</v>
      </c>
    </row>
  </sheetData>
  <sheetProtection/>
  <mergeCells count="31">
    <mergeCell ref="A1:D1"/>
    <mergeCell ref="E1:O1"/>
    <mergeCell ref="D13:I13"/>
    <mergeCell ref="A3:A5"/>
    <mergeCell ref="B3:C3"/>
    <mergeCell ref="D3:I5"/>
    <mergeCell ref="J3:J5"/>
    <mergeCell ref="M7:M23"/>
    <mergeCell ref="D8:I8"/>
    <mergeCell ref="A24:N24"/>
    <mergeCell ref="D14:I14"/>
    <mergeCell ref="D15:I15"/>
    <mergeCell ref="D16:I16"/>
    <mergeCell ref="D17:I17"/>
    <mergeCell ref="N3:O4"/>
    <mergeCell ref="B4:C4"/>
    <mergeCell ref="A6:M6"/>
    <mergeCell ref="D7:I7"/>
    <mergeCell ref="D18:I18"/>
    <mergeCell ref="D12:I12"/>
    <mergeCell ref="D9:I9"/>
    <mergeCell ref="D10:I10"/>
    <mergeCell ref="D11:I11"/>
    <mergeCell ref="L3:L5"/>
    <mergeCell ref="M3:M5"/>
    <mergeCell ref="D20:I20"/>
    <mergeCell ref="D21:I21"/>
    <mergeCell ref="D22:I22"/>
    <mergeCell ref="D23:I23"/>
    <mergeCell ref="K3:K5"/>
    <mergeCell ref="D19:I19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="80" zoomScaleNormal="80" zoomScalePageLayoutView="0" workbookViewId="0" topLeftCell="A53">
      <selection activeCell="E76" sqref="E76"/>
    </sheetView>
  </sheetViews>
  <sheetFormatPr defaultColWidth="9.140625" defaultRowHeight="12.75"/>
  <cols>
    <col min="2" max="2" width="38.421875" style="0" customWidth="1"/>
    <col min="3" max="3" width="10.421875" style="0" customWidth="1"/>
    <col min="6" max="6" width="14.421875" style="0" customWidth="1"/>
  </cols>
  <sheetData>
    <row r="1" spans="1:6" s="65" customFormat="1" ht="12.75">
      <c r="A1" s="417" t="s">
        <v>690</v>
      </c>
      <c r="B1" s="417"/>
      <c r="C1" s="417"/>
      <c r="D1" s="417"/>
      <c r="E1" s="417"/>
      <c r="F1" s="417"/>
    </row>
    <row r="2" spans="1:6" s="65" customFormat="1" ht="12.75">
      <c r="A2" s="240"/>
      <c r="B2" s="240"/>
      <c r="C2" s="240"/>
      <c r="D2" s="240"/>
      <c r="E2" s="240"/>
      <c r="F2" s="240"/>
    </row>
    <row r="3" spans="1:6" ht="15" thickBot="1">
      <c r="A3" s="137"/>
      <c r="B3" s="138" t="s">
        <v>689</v>
      </c>
      <c r="C3" s="138" t="s">
        <v>426</v>
      </c>
      <c r="D3" s="138"/>
      <c r="E3" s="138"/>
      <c r="F3" s="138"/>
    </row>
    <row r="4" spans="1:6" ht="15" thickBot="1">
      <c r="A4" s="139" t="s">
        <v>427</v>
      </c>
      <c r="B4" s="140" t="s">
        <v>428</v>
      </c>
      <c r="C4" s="141" t="s">
        <v>429</v>
      </c>
      <c r="D4" s="142" t="s">
        <v>430</v>
      </c>
      <c r="E4" s="142" t="s">
        <v>431</v>
      </c>
      <c r="F4" s="143" t="s">
        <v>287</v>
      </c>
    </row>
    <row r="5" spans="1:6" ht="18" customHeight="1">
      <c r="A5" s="144">
        <v>1</v>
      </c>
      <c r="B5" s="145" t="s">
        <v>432</v>
      </c>
      <c r="C5" s="146" t="s">
        <v>138</v>
      </c>
      <c r="D5" s="146">
        <v>4</v>
      </c>
      <c r="E5" s="146">
        <v>0</v>
      </c>
      <c r="F5" s="147">
        <f aca="true" t="shared" si="0" ref="F5:F36">D5*E5</f>
        <v>0</v>
      </c>
    </row>
    <row r="6" spans="1:6" ht="18" customHeight="1">
      <c r="A6" s="148">
        <v>2</v>
      </c>
      <c r="B6" s="149" t="s">
        <v>433</v>
      </c>
      <c r="C6" s="150" t="s">
        <v>138</v>
      </c>
      <c r="D6" s="150">
        <v>8</v>
      </c>
      <c r="E6" s="146">
        <v>0</v>
      </c>
      <c r="F6" s="151">
        <f t="shared" si="0"/>
        <v>0</v>
      </c>
    </row>
    <row r="7" spans="1:6" ht="18" customHeight="1">
      <c r="A7" s="148">
        <v>3</v>
      </c>
      <c r="B7" s="149" t="s">
        <v>434</v>
      </c>
      <c r="C7" s="150" t="s">
        <v>138</v>
      </c>
      <c r="D7" s="150">
        <v>6</v>
      </c>
      <c r="E7" s="146">
        <v>0</v>
      </c>
      <c r="F7" s="151">
        <f t="shared" si="0"/>
        <v>0</v>
      </c>
    </row>
    <row r="8" spans="1:6" ht="18" customHeight="1">
      <c r="A8" s="148">
        <v>4</v>
      </c>
      <c r="B8" s="149" t="s">
        <v>435</v>
      </c>
      <c r="C8" s="150" t="s">
        <v>139</v>
      </c>
      <c r="D8" s="150">
        <v>8</v>
      </c>
      <c r="E8" s="146">
        <v>0</v>
      </c>
      <c r="F8" s="151">
        <f t="shared" si="0"/>
        <v>0</v>
      </c>
    </row>
    <row r="9" spans="1:6" ht="18" customHeight="1">
      <c r="A9" s="148">
        <v>5</v>
      </c>
      <c r="B9" s="149" t="s">
        <v>436</v>
      </c>
      <c r="C9" s="150" t="s">
        <v>139</v>
      </c>
      <c r="D9" s="150">
        <v>1</v>
      </c>
      <c r="E9" s="146">
        <v>0</v>
      </c>
      <c r="F9" s="151">
        <f t="shared" si="0"/>
        <v>0</v>
      </c>
    </row>
    <row r="10" spans="1:6" ht="18" customHeight="1">
      <c r="A10" s="148">
        <v>6</v>
      </c>
      <c r="B10" s="149" t="s">
        <v>437</v>
      </c>
      <c r="C10" s="150" t="s">
        <v>139</v>
      </c>
      <c r="D10" s="150">
        <v>14</v>
      </c>
      <c r="E10" s="146">
        <v>0</v>
      </c>
      <c r="F10" s="151">
        <f t="shared" si="0"/>
        <v>0</v>
      </c>
    </row>
    <row r="11" spans="1:6" ht="18" customHeight="1">
      <c r="A11" s="148">
        <v>7</v>
      </c>
      <c r="B11" s="149" t="s">
        <v>438</v>
      </c>
      <c r="C11" s="150" t="s">
        <v>138</v>
      </c>
      <c r="D11" s="150">
        <v>40</v>
      </c>
      <c r="E11" s="146">
        <v>0</v>
      </c>
      <c r="F11" s="151">
        <f t="shared" si="0"/>
        <v>0</v>
      </c>
    </row>
    <row r="12" spans="1:6" ht="18" customHeight="1">
      <c r="A12" s="148">
        <v>8</v>
      </c>
      <c r="B12" s="149" t="s">
        <v>439</v>
      </c>
      <c r="C12" s="150" t="s">
        <v>138</v>
      </c>
      <c r="D12" s="150">
        <v>6</v>
      </c>
      <c r="E12" s="146">
        <v>0</v>
      </c>
      <c r="F12" s="151">
        <f t="shared" si="0"/>
        <v>0</v>
      </c>
    </row>
    <row r="13" spans="1:6" ht="18" customHeight="1">
      <c r="A13" s="148">
        <v>9</v>
      </c>
      <c r="B13" s="149" t="s">
        <v>440</v>
      </c>
      <c r="C13" s="150" t="s">
        <v>279</v>
      </c>
      <c r="D13" s="150">
        <v>6</v>
      </c>
      <c r="E13" s="146">
        <v>0</v>
      </c>
      <c r="F13" s="151">
        <f t="shared" si="0"/>
        <v>0</v>
      </c>
    </row>
    <row r="14" spans="1:6" ht="18" customHeight="1">
      <c r="A14" s="148">
        <v>10</v>
      </c>
      <c r="B14" s="149" t="s">
        <v>441</v>
      </c>
      <c r="C14" s="150" t="s">
        <v>139</v>
      </c>
      <c r="D14" s="150">
        <v>3</v>
      </c>
      <c r="E14" s="146">
        <v>0</v>
      </c>
      <c r="F14" s="151">
        <f t="shared" si="0"/>
        <v>0</v>
      </c>
    </row>
    <row r="15" spans="1:6" ht="18" customHeight="1">
      <c r="A15" s="148">
        <v>11</v>
      </c>
      <c r="B15" s="149" t="s">
        <v>442</v>
      </c>
      <c r="C15" s="150" t="s">
        <v>139</v>
      </c>
      <c r="D15" s="150">
        <v>2</v>
      </c>
      <c r="E15" s="146">
        <v>0</v>
      </c>
      <c r="F15" s="151">
        <f t="shared" si="0"/>
        <v>0</v>
      </c>
    </row>
    <row r="16" spans="1:6" ht="18" customHeight="1">
      <c r="A16" s="148">
        <v>12</v>
      </c>
      <c r="B16" s="149" t="s">
        <v>443</v>
      </c>
      <c r="C16" s="150" t="s">
        <v>139</v>
      </c>
      <c r="D16" s="150">
        <v>1</v>
      </c>
      <c r="E16" s="146">
        <v>0</v>
      </c>
      <c r="F16" s="151">
        <f t="shared" si="0"/>
        <v>0</v>
      </c>
    </row>
    <row r="17" spans="1:6" ht="18" customHeight="1">
      <c r="A17" s="148">
        <v>13</v>
      </c>
      <c r="B17" s="149" t="s">
        <v>444</v>
      </c>
      <c r="C17" s="150" t="s">
        <v>138</v>
      </c>
      <c r="D17" s="150">
        <v>6</v>
      </c>
      <c r="E17" s="146">
        <v>0</v>
      </c>
      <c r="F17" s="151">
        <f t="shared" si="0"/>
        <v>0</v>
      </c>
    </row>
    <row r="18" spans="1:6" ht="18" customHeight="1">
      <c r="A18" s="148">
        <v>14</v>
      </c>
      <c r="B18" s="149" t="s">
        <v>445</v>
      </c>
      <c r="C18" s="150" t="s">
        <v>138</v>
      </c>
      <c r="D18" s="150">
        <v>8</v>
      </c>
      <c r="E18" s="146">
        <v>0</v>
      </c>
      <c r="F18" s="151">
        <f t="shared" si="0"/>
        <v>0</v>
      </c>
    </row>
    <row r="19" spans="1:6" ht="18" customHeight="1">
      <c r="A19" s="148">
        <v>15</v>
      </c>
      <c r="B19" s="149" t="s">
        <v>446</v>
      </c>
      <c r="C19" s="150" t="s">
        <v>138</v>
      </c>
      <c r="D19" s="150">
        <v>4</v>
      </c>
      <c r="E19" s="146">
        <v>0</v>
      </c>
      <c r="F19" s="151">
        <f t="shared" si="0"/>
        <v>0</v>
      </c>
    </row>
    <row r="20" spans="1:6" ht="18" customHeight="1">
      <c r="A20" s="148">
        <v>16</v>
      </c>
      <c r="B20" s="149" t="s">
        <v>447</v>
      </c>
      <c r="C20" s="150" t="s">
        <v>138</v>
      </c>
      <c r="D20" s="150">
        <v>40</v>
      </c>
      <c r="E20" s="146">
        <v>0</v>
      </c>
      <c r="F20" s="151">
        <f t="shared" si="0"/>
        <v>0</v>
      </c>
    </row>
    <row r="21" spans="1:6" ht="18" customHeight="1">
      <c r="A21" s="148">
        <v>17</v>
      </c>
      <c r="B21" s="149" t="s">
        <v>448</v>
      </c>
      <c r="C21" s="150" t="s">
        <v>138</v>
      </c>
      <c r="D21" s="150">
        <v>46</v>
      </c>
      <c r="E21" s="146">
        <v>0</v>
      </c>
      <c r="F21" s="151">
        <f t="shared" si="0"/>
        <v>0</v>
      </c>
    </row>
    <row r="22" spans="1:6" ht="18" customHeight="1">
      <c r="A22" s="148">
        <v>18</v>
      </c>
      <c r="B22" s="149" t="s">
        <v>449</v>
      </c>
      <c r="C22" s="150" t="s">
        <v>138</v>
      </c>
      <c r="D22" s="150">
        <v>8</v>
      </c>
      <c r="E22" s="146">
        <v>0</v>
      </c>
      <c r="F22" s="151">
        <f t="shared" si="0"/>
        <v>0</v>
      </c>
    </row>
    <row r="23" spans="1:6" ht="18" customHeight="1">
      <c r="A23" s="148">
        <v>19</v>
      </c>
      <c r="B23" s="149" t="s">
        <v>450</v>
      </c>
      <c r="C23" s="150" t="s">
        <v>138</v>
      </c>
      <c r="D23" s="150">
        <v>56</v>
      </c>
      <c r="E23" s="146">
        <v>0</v>
      </c>
      <c r="F23" s="151">
        <f t="shared" si="0"/>
        <v>0</v>
      </c>
    </row>
    <row r="24" spans="1:6" ht="18" customHeight="1">
      <c r="A24" s="148">
        <v>20</v>
      </c>
      <c r="B24" s="149" t="s">
        <v>451</v>
      </c>
      <c r="C24" s="150" t="s">
        <v>138</v>
      </c>
      <c r="D24" s="150">
        <v>27</v>
      </c>
      <c r="E24" s="146">
        <v>0</v>
      </c>
      <c r="F24" s="151">
        <f t="shared" si="0"/>
        <v>0</v>
      </c>
    </row>
    <row r="25" spans="1:6" ht="18" customHeight="1">
      <c r="A25" s="148">
        <v>21</v>
      </c>
      <c r="B25" s="149" t="s">
        <v>452</v>
      </c>
      <c r="C25" s="150" t="s">
        <v>138</v>
      </c>
      <c r="D25" s="150">
        <v>20</v>
      </c>
      <c r="E25" s="146">
        <v>0</v>
      </c>
      <c r="F25" s="151">
        <f t="shared" si="0"/>
        <v>0</v>
      </c>
    </row>
    <row r="26" spans="1:6" ht="18" customHeight="1">
      <c r="A26" s="148">
        <v>22</v>
      </c>
      <c r="B26" s="149" t="s">
        <v>453</v>
      </c>
      <c r="C26" s="150" t="s">
        <v>138</v>
      </c>
      <c r="D26" s="150">
        <v>281</v>
      </c>
      <c r="E26" s="146">
        <v>0</v>
      </c>
      <c r="F26" s="151">
        <f t="shared" si="0"/>
        <v>0</v>
      </c>
    </row>
    <row r="27" spans="1:6" ht="18" customHeight="1">
      <c r="A27" s="148">
        <v>23</v>
      </c>
      <c r="B27" s="149" t="s">
        <v>454</v>
      </c>
      <c r="C27" s="150" t="s">
        <v>138</v>
      </c>
      <c r="D27" s="150">
        <v>82</v>
      </c>
      <c r="E27" s="146">
        <v>0</v>
      </c>
      <c r="F27" s="151">
        <f t="shared" si="0"/>
        <v>0</v>
      </c>
    </row>
    <row r="28" spans="1:6" ht="18" customHeight="1">
      <c r="A28" s="148">
        <v>24</v>
      </c>
      <c r="B28" s="149" t="s">
        <v>455</v>
      </c>
      <c r="C28" s="150" t="s">
        <v>223</v>
      </c>
      <c r="D28" s="150">
        <v>2</v>
      </c>
      <c r="E28" s="146">
        <v>0</v>
      </c>
      <c r="F28" s="151">
        <f t="shared" si="0"/>
        <v>0</v>
      </c>
    </row>
    <row r="29" spans="1:6" ht="18" customHeight="1">
      <c r="A29" s="148">
        <v>25</v>
      </c>
      <c r="B29" s="149" t="s">
        <v>456</v>
      </c>
      <c r="C29" s="150" t="s">
        <v>139</v>
      </c>
      <c r="D29" s="150">
        <v>40</v>
      </c>
      <c r="E29" s="146">
        <v>0</v>
      </c>
      <c r="F29" s="151">
        <f t="shared" si="0"/>
        <v>0</v>
      </c>
    </row>
    <row r="30" spans="1:6" ht="18" customHeight="1">
      <c r="A30" s="148">
        <v>26</v>
      </c>
      <c r="B30" s="149" t="s">
        <v>457</v>
      </c>
      <c r="C30" s="150" t="s">
        <v>139</v>
      </c>
      <c r="D30" s="150">
        <v>2</v>
      </c>
      <c r="E30" s="146">
        <v>0</v>
      </c>
      <c r="F30" s="151">
        <f t="shared" si="0"/>
        <v>0</v>
      </c>
    </row>
    <row r="31" spans="1:6" ht="18" customHeight="1">
      <c r="A31" s="148">
        <v>27</v>
      </c>
      <c r="B31" s="149" t="s">
        <v>458</v>
      </c>
      <c r="C31" s="150" t="s">
        <v>139</v>
      </c>
      <c r="D31" s="150">
        <v>1</v>
      </c>
      <c r="E31" s="146">
        <v>0</v>
      </c>
      <c r="F31" s="151">
        <f t="shared" si="0"/>
        <v>0</v>
      </c>
    </row>
    <row r="32" spans="1:6" ht="18" customHeight="1">
      <c r="A32" s="148">
        <v>28</v>
      </c>
      <c r="B32" s="149" t="s">
        <v>459</v>
      </c>
      <c r="C32" s="150" t="s">
        <v>139</v>
      </c>
      <c r="D32" s="150">
        <v>3</v>
      </c>
      <c r="E32" s="146">
        <v>0</v>
      </c>
      <c r="F32" s="151">
        <f t="shared" si="0"/>
        <v>0</v>
      </c>
    </row>
    <row r="33" spans="1:6" ht="18" customHeight="1">
      <c r="A33" s="148">
        <v>29</v>
      </c>
      <c r="B33" s="149" t="s">
        <v>460</v>
      </c>
      <c r="C33" s="150" t="s">
        <v>223</v>
      </c>
      <c r="D33" s="150">
        <v>1</v>
      </c>
      <c r="E33" s="146">
        <v>0</v>
      </c>
      <c r="F33" s="151">
        <f t="shared" si="0"/>
        <v>0</v>
      </c>
    </row>
    <row r="34" spans="1:6" ht="18" customHeight="1">
      <c r="A34" s="148">
        <v>30</v>
      </c>
      <c r="B34" s="149" t="s">
        <v>499</v>
      </c>
      <c r="C34" s="150" t="s">
        <v>223</v>
      </c>
      <c r="D34" s="150">
        <v>6</v>
      </c>
      <c r="E34" s="146">
        <v>0</v>
      </c>
      <c r="F34" s="151">
        <f t="shared" si="0"/>
        <v>0</v>
      </c>
    </row>
    <row r="35" spans="1:6" ht="18" customHeight="1">
      <c r="A35" s="148">
        <v>31</v>
      </c>
      <c r="B35" s="149" t="s">
        <v>500</v>
      </c>
      <c r="C35" s="150" t="s">
        <v>223</v>
      </c>
      <c r="D35" s="150">
        <v>1</v>
      </c>
      <c r="E35" s="146">
        <v>0</v>
      </c>
      <c r="F35" s="151">
        <f t="shared" si="0"/>
        <v>0</v>
      </c>
    </row>
    <row r="36" spans="1:6" ht="18" customHeight="1">
      <c r="A36" s="148">
        <v>32</v>
      </c>
      <c r="B36" s="149" t="s">
        <v>461</v>
      </c>
      <c r="C36" s="150" t="s">
        <v>279</v>
      </c>
      <c r="D36" s="150">
        <v>10</v>
      </c>
      <c r="E36" s="146">
        <v>0</v>
      </c>
      <c r="F36" s="151">
        <f t="shared" si="0"/>
        <v>0</v>
      </c>
    </row>
    <row r="37" spans="1:6" ht="18" customHeight="1">
      <c r="A37" s="148">
        <v>33</v>
      </c>
      <c r="B37" s="149" t="s">
        <v>462</v>
      </c>
      <c r="C37" s="150" t="s">
        <v>136</v>
      </c>
      <c r="D37" s="150">
        <v>0.6</v>
      </c>
      <c r="E37" s="146">
        <v>0</v>
      </c>
      <c r="F37" s="151">
        <f aca="true" t="shared" si="1" ref="F37:F57">D37*E37</f>
        <v>0</v>
      </c>
    </row>
    <row r="38" spans="1:6" ht="18" customHeight="1">
      <c r="A38" s="148">
        <v>34</v>
      </c>
      <c r="B38" s="149" t="s">
        <v>463</v>
      </c>
      <c r="C38" s="150" t="s">
        <v>139</v>
      </c>
      <c r="D38" s="150">
        <v>3</v>
      </c>
      <c r="E38" s="146">
        <v>0</v>
      </c>
      <c r="F38" s="151">
        <f t="shared" si="1"/>
        <v>0</v>
      </c>
    </row>
    <row r="39" spans="1:6" ht="18" customHeight="1">
      <c r="A39" s="148">
        <v>35</v>
      </c>
      <c r="B39" s="149" t="s">
        <v>464</v>
      </c>
      <c r="C39" s="150" t="s">
        <v>139</v>
      </c>
      <c r="D39" s="150">
        <v>1</v>
      </c>
      <c r="E39" s="146">
        <v>0</v>
      </c>
      <c r="F39" s="151">
        <f t="shared" si="1"/>
        <v>0</v>
      </c>
    </row>
    <row r="40" spans="1:6" ht="18" customHeight="1">
      <c r="A40" s="148">
        <v>36</v>
      </c>
      <c r="B40" s="149" t="s">
        <v>465</v>
      </c>
      <c r="C40" s="150" t="s">
        <v>138</v>
      </c>
      <c r="D40" s="150">
        <v>6</v>
      </c>
      <c r="E40" s="146">
        <v>0</v>
      </c>
      <c r="F40" s="151">
        <f t="shared" si="1"/>
        <v>0</v>
      </c>
    </row>
    <row r="41" spans="1:6" ht="18" customHeight="1">
      <c r="A41" s="148">
        <v>37</v>
      </c>
      <c r="B41" s="149" t="s">
        <v>466</v>
      </c>
      <c r="C41" s="150" t="s">
        <v>138</v>
      </c>
      <c r="D41" s="150">
        <v>4</v>
      </c>
      <c r="E41" s="146">
        <v>0</v>
      </c>
      <c r="F41" s="151">
        <f t="shared" si="1"/>
        <v>0</v>
      </c>
    </row>
    <row r="42" spans="1:6" ht="18" customHeight="1">
      <c r="A42" s="148">
        <v>38</v>
      </c>
      <c r="B42" s="149" t="s">
        <v>467</v>
      </c>
      <c r="C42" s="150" t="s">
        <v>139</v>
      </c>
      <c r="D42" s="150">
        <v>1</v>
      </c>
      <c r="E42" s="146">
        <v>0</v>
      </c>
      <c r="F42" s="151">
        <f t="shared" si="1"/>
        <v>0</v>
      </c>
    </row>
    <row r="43" spans="1:6" ht="18" customHeight="1">
      <c r="A43" s="148">
        <v>39</v>
      </c>
      <c r="B43" s="149" t="s">
        <v>468</v>
      </c>
      <c r="C43" s="150" t="s">
        <v>139</v>
      </c>
      <c r="D43" s="150">
        <v>4</v>
      </c>
      <c r="E43" s="146">
        <v>0</v>
      </c>
      <c r="F43" s="151">
        <f t="shared" si="1"/>
        <v>0</v>
      </c>
    </row>
    <row r="44" spans="1:6" ht="18" customHeight="1">
      <c r="A44" s="148">
        <v>40</v>
      </c>
      <c r="B44" s="149" t="s">
        <v>469</v>
      </c>
      <c r="C44" s="150" t="s">
        <v>139</v>
      </c>
      <c r="D44" s="150">
        <v>2</v>
      </c>
      <c r="E44" s="146">
        <v>0</v>
      </c>
      <c r="F44" s="151">
        <f t="shared" si="1"/>
        <v>0</v>
      </c>
    </row>
    <row r="45" spans="1:6" ht="18" customHeight="1">
      <c r="A45" s="148">
        <v>41</v>
      </c>
      <c r="B45" s="149" t="s">
        <v>470</v>
      </c>
      <c r="C45" s="150" t="s">
        <v>139</v>
      </c>
      <c r="D45" s="150">
        <v>2</v>
      </c>
      <c r="E45" s="146">
        <v>0</v>
      </c>
      <c r="F45" s="151">
        <f t="shared" si="1"/>
        <v>0</v>
      </c>
    </row>
    <row r="46" spans="1:6" ht="18" customHeight="1">
      <c r="A46" s="148">
        <v>42</v>
      </c>
      <c r="B46" s="149" t="s">
        <v>471</v>
      </c>
      <c r="C46" s="150" t="s">
        <v>139</v>
      </c>
      <c r="D46" s="150">
        <v>1</v>
      </c>
      <c r="E46" s="146">
        <v>0</v>
      </c>
      <c r="F46" s="151">
        <f t="shared" si="1"/>
        <v>0</v>
      </c>
    </row>
    <row r="47" spans="1:6" ht="18" customHeight="1">
      <c r="A47" s="148">
        <v>43</v>
      </c>
      <c r="B47" s="149" t="s">
        <v>472</v>
      </c>
      <c r="C47" s="150" t="s">
        <v>139</v>
      </c>
      <c r="D47" s="150">
        <v>2</v>
      </c>
      <c r="E47" s="146">
        <v>0</v>
      </c>
      <c r="F47" s="151">
        <f t="shared" si="1"/>
        <v>0</v>
      </c>
    </row>
    <row r="48" spans="1:6" ht="18" customHeight="1">
      <c r="A48" s="148">
        <v>44</v>
      </c>
      <c r="B48" s="149" t="s">
        <v>473</v>
      </c>
      <c r="C48" s="150" t="s">
        <v>139</v>
      </c>
      <c r="D48" s="150">
        <v>1</v>
      </c>
      <c r="E48" s="146">
        <v>0</v>
      </c>
      <c r="F48" s="151">
        <f t="shared" si="1"/>
        <v>0</v>
      </c>
    </row>
    <row r="49" spans="1:6" ht="18" customHeight="1">
      <c r="A49" s="148">
        <v>45</v>
      </c>
      <c r="B49" s="149" t="s">
        <v>474</v>
      </c>
      <c r="C49" s="150" t="s">
        <v>139</v>
      </c>
      <c r="D49" s="150">
        <v>1</v>
      </c>
      <c r="E49" s="146">
        <v>0</v>
      </c>
      <c r="F49" s="151">
        <f t="shared" si="1"/>
        <v>0</v>
      </c>
    </row>
    <row r="50" spans="1:6" ht="18" customHeight="1">
      <c r="A50" s="148">
        <v>46</v>
      </c>
      <c r="B50" s="149" t="s">
        <v>475</v>
      </c>
      <c r="C50" s="150" t="s">
        <v>139</v>
      </c>
      <c r="D50" s="150">
        <v>1</v>
      </c>
      <c r="E50" s="146">
        <v>0</v>
      </c>
      <c r="F50" s="151">
        <f t="shared" si="1"/>
        <v>0</v>
      </c>
    </row>
    <row r="51" spans="1:6" ht="18" customHeight="1">
      <c r="A51" s="148">
        <v>47</v>
      </c>
      <c r="B51" s="149" t="s">
        <v>476</v>
      </c>
      <c r="C51" s="150" t="s">
        <v>139</v>
      </c>
      <c r="D51" s="150">
        <v>8</v>
      </c>
      <c r="E51" s="146">
        <v>0</v>
      </c>
      <c r="F51" s="151">
        <f t="shared" si="1"/>
        <v>0</v>
      </c>
    </row>
    <row r="52" spans="1:6" ht="18" customHeight="1">
      <c r="A52" s="148">
        <v>48</v>
      </c>
      <c r="B52" s="149" t="s">
        <v>477</v>
      </c>
      <c r="C52" s="150" t="s">
        <v>139</v>
      </c>
      <c r="D52" s="150">
        <v>6</v>
      </c>
      <c r="E52" s="146">
        <v>0</v>
      </c>
      <c r="F52" s="151">
        <f t="shared" si="1"/>
        <v>0</v>
      </c>
    </row>
    <row r="53" spans="1:6" ht="18" customHeight="1">
      <c r="A53" s="148">
        <v>49</v>
      </c>
      <c r="B53" s="149" t="s">
        <v>478</v>
      </c>
      <c r="C53" s="150" t="s">
        <v>139</v>
      </c>
      <c r="D53" s="150">
        <v>2</v>
      </c>
      <c r="E53" s="146">
        <v>0</v>
      </c>
      <c r="F53" s="151">
        <f t="shared" si="1"/>
        <v>0</v>
      </c>
    </row>
    <row r="54" spans="1:6" ht="18" customHeight="1">
      <c r="A54" s="148">
        <v>50</v>
      </c>
      <c r="B54" s="149" t="s">
        <v>501</v>
      </c>
      <c r="C54" s="150" t="s">
        <v>139</v>
      </c>
      <c r="D54" s="150">
        <v>40</v>
      </c>
      <c r="E54" s="146">
        <v>0</v>
      </c>
      <c r="F54" s="151">
        <f t="shared" si="1"/>
        <v>0</v>
      </c>
    </row>
    <row r="55" spans="1:6" ht="18" customHeight="1">
      <c r="A55" s="148">
        <v>51</v>
      </c>
      <c r="B55" s="152" t="s">
        <v>479</v>
      </c>
      <c r="C55" s="153" t="s">
        <v>139</v>
      </c>
      <c r="D55" s="153">
        <v>1</v>
      </c>
      <c r="E55" s="146">
        <v>0</v>
      </c>
      <c r="F55" s="154">
        <f t="shared" si="1"/>
        <v>0</v>
      </c>
    </row>
    <row r="56" spans="1:6" ht="18" customHeight="1">
      <c r="A56" s="148">
        <v>52</v>
      </c>
      <c r="B56" s="155" t="s">
        <v>480</v>
      </c>
      <c r="C56" s="153" t="s">
        <v>139</v>
      </c>
      <c r="D56" s="153">
        <v>1</v>
      </c>
      <c r="E56" s="146">
        <v>0</v>
      </c>
      <c r="F56" s="154">
        <f t="shared" si="1"/>
        <v>0</v>
      </c>
    </row>
    <row r="57" spans="1:6" ht="18" customHeight="1">
      <c r="A57" s="148">
        <v>53</v>
      </c>
      <c r="B57" s="149" t="s">
        <v>481</v>
      </c>
      <c r="C57" s="150" t="s">
        <v>138</v>
      </c>
      <c r="D57" s="150">
        <v>6</v>
      </c>
      <c r="E57" s="146">
        <v>0</v>
      </c>
      <c r="F57" s="151">
        <f t="shared" si="1"/>
        <v>0</v>
      </c>
    </row>
    <row r="58" spans="1:6" ht="18" customHeight="1">
      <c r="A58" s="156" t="s">
        <v>82</v>
      </c>
      <c r="B58" s="157" t="s">
        <v>482</v>
      </c>
      <c r="C58" s="158"/>
      <c r="D58" s="158"/>
      <c r="E58" s="158"/>
      <c r="F58" s="159">
        <f>SUM(F5:F57)</f>
        <v>0</v>
      </c>
    </row>
    <row r="59" spans="1:6" ht="18" customHeight="1">
      <c r="A59" s="156" t="s">
        <v>483</v>
      </c>
      <c r="B59" s="157" t="s">
        <v>484</v>
      </c>
      <c r="C59" s="158"/>
      <c r="D59" s="158"/>
      <c r="E59" s="158"/>
      <c r="F59" s="159"/>
    </row>
    <row r="60" spans="1:6" ht="18" customHeight="1">
      <c r="A60" s="148">
        <v>54</v>
      </c>
      <c r="B60" s="149" t="s">
        <v>485</v>
      </c>
      <c r="C60" s="150" t="s">
        <v>223</v>
      </c>
      <c r="D60" s="150">
        <v>6</v>
      </c>
      <c r="E60" s="150">
        <v>0</v>
      </c>
      <c r="F60" s="151">
        <f>D60*E60</f>
        <v>0</v>
      </c>
    </row>
    <row r="61" spans="1:6" ht="18" customHeight="1">
      <c r="A61" s="148">
        <v>55</v>
      </c>
      <c r="B61" s="149" t="s">
        <v>486</v>
      </c>
      <c r="C61" s="150" t="s">
        <v>223</v>
      </c>
      <c r="D61" s="150">
        <v>6</v>
      </c>
      <c r="E61" s="150">
        <v>0</v>
      </c>
      <c r="F61" s="151">
        <f>D61*E61</f>
        <v>0</v>
      </c>
    </row>
    <row r="62" spans="1:6" ht="18" customHeight="1">
      <c r="A62" s="148">
        <v>56</v>
      </c>
      <c r="B62" s="149" t="s">
        <v>487</v>
      </c>
      <c r="C62" s="150" t="s">
        <v>223</v>
      </c>
      <c r="D62" s="150">
        <v>4</v>
      </c>
      <c r="E62" s="150">
        <v>0</v>
      </c>
      <c r="F62" s="151">
        <f>D62*E62</f>
        <v>0</v>
      </c>
    </row>
    <row r="63" spans="1:6" ht="18" customHeight="1">
      <c r="A63" s="148">
        <v>57</v>
      </c>
      <c r="B63" s="149" t="s">
        <v>488</v>
      </c>
      <c r="C63" s="150" t="s">
        <v>136</v>
      </c>
      <c r="D63" s="150">
        <v>0.8</v>
      </c>
      <c r="E63" s="150">
        <v>0</v>
      </c>
      <c r="F63" s="151">
        <f>D63*E63</f>
        <v>0</v>
      </c>
    </row>
    <row r="64" spans="1:6" ht="18" customHeight="1">
      <c r="A64" s="156" t="s">
        <v>82</v>
      </c>
      <c r="B64" s="157" t="s">
        <v>484</v>
      </c>
      <c r="C64" s="158"/>
      <c r="D64" s="158"/>
      <c r="E64" s="158"/>
      <c r="F64" s="159">
        <f>SUM(F60:F63)</f>
        <v>0</v>
      </c>
    </row>
    <row r="65" spans="1:6" ht="18" customHeight="1">
      <c r="A65" s="156" t="s">
        <v>483</v>
      </c>
      <c r="B65" s="157" t="s">
        <v>489</v>
      </c>
      <c r="C65" s="158"/>
      <c r="D65" s="158"/>
      <c r="E65" s="158"/>
      <c r="F65" s="159"/>
    </row>
    <row r="66" spans="1:6" ht="18" customHeight="1">
      <c r="A66" s="148">
        <v>58</v>
      </c>
      <c r="B66" s="149" t="s">
        <v>490</v>
      </c>
      <c r="C66" s="150" t="s">
        <v>139</v>
      </c>
      <c r="D66" s="150">
        <v>1</v>
      </c>
      <c r="E66" s="150">
        <v>0</v>
      </c>
      <c r="F66" s="151">
        <f>D66*E66</f>
        <v>0</v>
      </c>
    </row>
    <row r="67" spans="1:6" ht="18" customHeight="1">
      <c r="A67" s="148">
        <v>59</v>
      </c>
      <c r="B67" s="149" t="s">
        <v>491</v>
      </c>
      <c r="C67" s="150" t="s">
        <v>139</v>
      </c>
      <c r="D67" s="150">
        <v>1</v>
      </c>
      <c r="E67" s="150">
        <v>0</v>
      </c>
      <c r="F67" s="151">
        <f>D67*E67</f>
        <v>0</v>
      </c>
    </row>
    <row r="68" spans="1:6" ht="18" customHeight="1">
      <c r="A68" s="148">
        <v>60</v>
      </c>
      <c r="B68" s="149" t="s">
        <v>492</v>
      </c>
      <c r="C68" s="150" t="s">
        <v>139</v>
      </c>
      <c r="D68" s="150">
        <v>1</v>
      </c>
      <c r="E68" s="150">
        <v>0</v>
      </c>
      <c r="F68" s="151">
        <f>D68*E68</f>
        <v>0</v>
      </c>
    </row>
    <row r="69" spans="1:6" ht="18" customHeight="1">
      <c r="A69" s="156" t="s">
        <v>82</v>
      </c>
      <c r="B69" s="157" t="s">
        <v>493</v>
      </c>
      <c r="C69" s="158"/>
      <c r="D69" s="158"/>
      <c r="E69" s="158"/>
      <c r="F69" s="159">
        <f>SUM(F66:F68)</f>
        <v>0</v>
      </c>
    </row>
    <row r="70" spans="1:6" ht="18" customHeight="1">
      <c r="A70" s="156" t="s">
        <v>483</v>
      </c>
      <c r="B70" s="157" t="s">
        <v>494</v>
      </c>
      <c r="C70" s="158"/>
      <c r="D70" s="158"/>
      <c r="E70" s="158"/>
      <c r="F70" s="159"/>
    </row>
    <row r="71" spans="1:6" ht="18" customHeight="1">
      <c r="A71" s="148">
        <v>61</v>
      </c>
      <c r="B71" s="160" t="s">
        <v>495</v>
      </c>
      <c r="C71" s="161" t="s">
        <v>139</v>
      </c>
      <c r="D71" s="161">
        <v>1</v>
      </c>
      <c r="E71" s="161">
        <v>0</v>
      </c>
      <c r="F71" s="151">
        <f>D71*E71</f>
        <v>0</v>
      </c>
    </row>
    <row r="72" spans="1:6" ht="18" customHeight="1">
      <c r="A72" s="148">
        <v>62</v>
      </c>
      <c r="B72" s="160" t="s">
        <v>496</v>
      </c>
      <c r="C72" s="161" t="s">
        <v>139</v>
      </c>
      <c r="D72" s="161">
        <v>1</v>
      </c>
      <c r="E72" s="161">
        <v>0</v>
      </c>
      <c r="F72" s="151">
        <f>D72*E72</f>
        <v>0</v>
      </c>
    </row>
    <row r="73" spans="1:6" ht="18" customHeight="1">
      <c r="A73" s="148">
        <v>63</v>
      </c>
      <c r="B73" s="160" t="s">
        <v>497</v>
      </c>
      <c r="C73" s="161" t="s">
        <v>498</v>
      </c>
      <c r="D73" s="161">
        <v>16</v>
      </c>
      <c r="E73" s="161">
        <v>0</v>
      </c>
      <c r="F73" s="151">
        <f>D73*E73</f>
        <v>0</v>
      </c>
    </row>
    <row r="74" spans="1:6" ht="18" customHeight="1" thickBot="1">
      <c r="A74" s="156" t="s">
        <v>82</v>
      </c>
      <c r="B74" s="157" t="s">
        <v>494</v>
      </c>
      <c r="C74" s="158"/>
      <c r="D74" s="158"/>
      <c r="E74" s="158"/>
      <c r="F74" s="159">
        <f>SUM(F71:F73)</f>
        <v>0</v>
      </c>
    </row>
    <row r="75" spans="1:6" s="237" customFormat="1" ht="18" customHeight="1" thickBot="1">
      <c r="A75" s="234"/>
      <c r="B75" s="233" t="s">
        <v>686</v>
      </c>
      <c r="C75" s="235"/>
      <c r="D75" s="235"/>
      <c r="E75" s="235"/>
      <c r="F75" s="236">
        <f>SUM(F4:F74)/2</f>
        <v>0</v>
      </c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1"/>
  <sheetViews>
    <sheetView zoomScale="80" zoomScaleNormal="80" zoomScalePageLayoutView="0" workbookViewId="0" topLeftCell="A58">
      <selection activeCell="F75" sqref="F75"/>
    </sheetView>
  </sheetViews>
  <sheetFormatPr defaultColWidth="9.140625" defaultRowHeight="12.75"/>
  <cols>
    <col min="3" max="3" width="33.421875" style="0" customWidth="1"/>
    <col min="7" max="7" width="16.28125" style="0" customWidth="1"/>
  </cols>
  <sheetData>
    <row r="1" spans="1:7" ht="25.5" customHeight="1">
      <c r="A1" s="162"/>
      <c r="B1" s="163"/>
      <c r="C1" s="163" t="s">
        <v>691</v>
      </c>
      <c r="D1" s="162"/>
      <c r="E1" s="162"/>
      <c r="F1" s="162"/>
      <c r="G1" s="162"/>
    </row>
    <row r="2" spans="1:7" ht="12">
      <c r="A2" s="162"/>
      <c r="B2" s="162"/>
      <c r="C2" s="162"/>
      <c r="D2" s="162"/>
      <c r="E2" s="162"/>
      <c r="F2" s="162"/>
      <c r="G2" s="162"/>
    </row>
    <row r="3" spans="1:7" ht="27" customHeight="1">
      <c r="A3" s="164" t="s">
        <v>502</v>
      </c>
      <c r="B3" s="165" t="s">
        <v>40</v>
      </c>
      <c r="C3" s="165" t="s">
        <v>503</v>
      </c>
      <c r="D3" s="165" t="s">
        <v>135</v>
      </c>
      <c r="E3" s="165" t="s">
        <v>142</v>
      </c>
      <c r="F3" s="165" t="s">
        <v>504</v>
      </c>
      <c r="G3" s="165" t="s">
        <v>505</v>
      </c>
    </row>
    <row r="4" spans="1:7" ht="18" customHeight="1">
      <c r="A4" s="166" t="s">
        <v>506</v>
      </c>
      <c r="B4" s="162"/>
      <c r="C4" s="162"/>
      <c r="D4" s="162"/>
      <c r="E4" s="162"/>
      <c r="F4" s="162"/>
      <c r="G4" s="167">
        <f>SUM(G6,G37,G56,G59)</f>
        <v>0</v>
      </c>
    </row>
    <row r="5" spans="1:7" ht="12" customHeight="1">
      <c r="A5" s="184"/>
      <c r="B5" s="185"/>
      <c r="C5" s="186"/>
      <c r="D5" s="187"/>
      <c r="E5" s="188"/>
      <c r="F5" s="189"/>
      <c r="G5" s="190"/>
    </row>
    <row r="6" spans="1:7" ht="16.5" customHeight="1">
      <c r="A6" s="191"/>
      <c r="B6" s="192" t="s">
        <v>507</v>
      </c>
      <c r="C6" s="192" t="s">
        <v>508</v>
      </c>
      <c r="D6" s="193"/>
      <c r="E6" s="193"/>
      <c r="F6" s="193"/>
      <c r="G6" s="168">
        <f>SUM(G7:G35)</f>
        <v>0</v>
      </c>
    </row>
    <row r="7" spans="1:7" ht="27" customHeight="1">
      <c r="A7" s="194">
        <v>1</v>
      </c>
      <c r="B7" s="169" t="s">
        <v>509</v>
      </c>
      <c r="C7" s="170" t="s">
        <v>510</v>
      </c>
      <c r="D7" s="171" t="s">
        <v>223</v>
      </c>
      <c r="E7" s="172">
        <v>2</v>
      </c>
      <c r="F7" s="173">
        <v>0</v>
      </c>
      <c r="G7" s="174">
        <f aca="true" t="shared" si="0" ref="G7:G35">F7*E7</f>
        <v>0</v>
      </c>
    </row>
    <row r="8" spans="1:7" ht="27" customHeight="1">
      <c r="A8" s="194">
        <f aca="true" t="shared" si="1" ref="A8:A35">A7+1</f>
        <v>2</v>
      </c>
      <c r="B8" s="169" t="s">
        <v>511</v>
      </c>
      <c r="C8" s="170" t="s">
        <v>512</v>
      </c>
      <c r="D8" s="171" t="s">
        <v>223</v>
      </c>
      <c r="E8" s="172">
        <v>2</v>
      </c>
      <c r="F8" s="173">
        <v>0</v>
      </c>
      <c r="G8" s="174">
        <f t="shared" si="0"/>
        <v>0</v>
      </c>
    </row>
    <row r="9" spans="1:7" ht="27" customHeight="1">
      <c r="A9" s="194">
        <f t="shared" si="1"/>
        <v>3</v>
      </c>
      <c r="B9" s="175" t="s">
        <v>513</v>
      </c>
      <c r="C9" s="170" t="s">
        <v>514</v>
      </c>
      <c r="D9" s="171" t="s">
        <v>223</v>
      </c>
      <c r="E9" s="172">
        <v>1</v>
      </c>
      <c r="F9" s="173">
        <v>0</v>
      </c>
      <c r="G9" s="174">
        <f t="shared" si="0"/>
        <v>0</v>
      </c>
    </row>
    <row r="10" spans="1:7" ht="27" customHeight="1">
      <c r="A10" s="194">
        <f t="shared" si="1"/>
        <v>4</v>
      </c>
      <c r="B10" s="175"/>
      <c r="C10" s="170" t="s">
        <v>515</v>
      </c>
      <c r="D10" s="171" t="s">
        <v>223</v>
      </c>
      <c r="E10" s="172">
        <v>1</v>
      </c>
      <c r="F10" s="173">
        <v>0</v>
      </c>
      <c r="G10" s="174">
        <f t="shared" si="0"/>
        <v>0</v>
      </c>
    </row>
    <row r="11" spans="1:7" ht="27" customHeight="1">
      <c r="A11" s="194">
        <f t="shared" si="1"/>
        <v>5</v>
      </c>
      <c r="B11" s="175" t="s">
        <v>516</v>
      </c>
      <c r="C11" s="170" t="s">
        <v>517</v>
      </c>
      <c r="D11" s="171" t="s">
        <v>223</v>
      </c>
      <c r="E11" s="172">
        <v>1</v>
      </c>
      <c r="F11" s="173">
        <v>0</v>
      </c>
      <c r="G11" s="174">
        <f t="shared" si="0"/>
        <v>0</v>
      </c>
    </row>
    <row r="12" spans="1:7" ht="27" customHeight="1">
      <c r="A12" s="194">
        <f t="shared" si="1"/>
        <v>6</v>
      </c>
      <c r="B12" s="175"/>
      <c r="C12" s="170" t="s">
        <v>518</v>
      </c>
      <c r="D12" s="171" t="s">
        <v>223</v>
      </c>
      <c r="E12" s="172">
        <v>1</v>
      </c>
      <c r="F12" s="173">
        <v>0</v>
      </c>
      <c r="G12" s="174">
        <f t="shared" si="0"/>
        <v>0</v>
      </c>
    </row>
    <row r="13" spans="1:7" ht="27" customHeight="1">
      <c r="A13" s="194">
        <f t="shared" si="1"/>
        <v>7</v>
      </c>
      <c r="B13" s="175"/>
      <c r="C13" s="170" t="s">
        <v>519</v>
      </c>
      <c r="D13" s="176" t="s">
        <v>223</v>
      </c>
      <c r="E13" s="172">
        <v>1</v>
      </c>
      <c r="F13" s="173">
        <v>0</v>
      </c>
      <c r="G13" s="174">
        <f t="shared" si="0"/>
        <v>0</v>
      </c>
    </row>
    <row r="14" spans="1:7" ht="27" customHeight="1">
      <c r="A14" s="194">
        <f t="shared" si="1"/>
        <v>8</v>
      </c>
      <c r="B14" s="175"/>
      <c r="C14" s="170" t="s">
        <v>520</v>
      </c>
      <c r="D14" s="176" t="s">
        <v>223</v>
      </c>
      <c r="E14" s="172">
        <v>1</v>
      </c>
      <c r="F14" s="173">
        <v>0</v>
      </c>
      <c r="G14" s="174">
        <f t="shared" si="0"/>
        <v>0</v>
      </c>
    </row>
    <row r="15" spans="1:7" ht="27" customHeight="1">
      <c r="A15" s="194">
        <f t="shared" si="1"/>
        <v>9</v>
      </c>
      <c r="B15" s="175"/>
      <c r="C15" s="170" t="s">
        <v>521</v>
      </c>
      <c r="D15" s="171" t="s">
        <v>223</v>
      </c>
      <c r="E15" s="172">
        <v>1</v>
      </c>
      <c r="F15" s="173">
        <v>0</v>
      </c>
      <c r="G15" s="174">
        <f t="shared" si="0"/>
        <v>0</v>
      </c>
    </row>
    <row r="16" spans="1:7" ht="27" customHeight="1">
      <c r="A16" s="194">
        <f t="shared" si="1"/>
        <v>10</v>
      </c>
      <c r="B16" s="175" t="s">
        <v>522</v>
      </c>
      <c r="C16" s="170" t="s">
        <v>523</v>
      </c>
      <c r="D16" s="176" t="s">
        <v>138</v>
      </c>
      <c r="E16" s="172">
        <v>930</v>
      </c>
      <c r="F16" s="173">
        <v>0</v>
      </c>
      <c r="G16" s="174">
        <f t="shared" si="0"/>
        <v>0</v>
      </c>
    </row>
    <row r="17" spans="1:7" ht="27" customHeight="1">
      <c r="A17" s="194">
        <f t="shared" si="1"/>
        <v>11</v>
      </c>
      <c r="B17" s="175"/>
      <c r="C17" s="170" t="s">
        <v>524</v>
      </c>
      <c r="D17" s="176" t="s">
        <v>138</v>
      </c>
      <c r="E17" s="172">
        <v>30</v>
      </c>
      <c r="F17" s="173">
        <v>0</v>
      </c>
      <c r="G17" s="174">
        <f t="shared" si="0"/>
        <v>0</v>
      </c>
    </row>
    <row r="18" spans="1:7" ht="27" customHeight="1">
      <c r="A18" s="194">
        <f t="shared" si="1"/>
        <v>12</v>
      </c>
      <c r="B18" s="175"/>
      <c r="C18" s="170" t="s">
        <v>525</v>
      </c>
      <c r="D18" s="176" t="s">
        <v>138</v>
      </c>
      <c r="E18" s="172">
        <v>900</v>
      </c>
      <c r="F18" s="173">
        <v>0</v>
      </c>
      <c r="G18" s="174">
        <f t="shared" si="0"/>
        <v>0</v>
      </c>
    </row>
    <row r="19" spans="1:7" ht="27" customHeight="1">
      <c r="A19" s="194">
        <f t="shared" si="1"/>
        <v>13</v>
      </c>
      <c r="B19" s="175" t="s">
        <v>526</v>
      </c>
      <c r="C19" s="170" t="s">
        <v>527</v>
      </c>
      <c r="D19" s="176" t="s">
        <v>138</v>
      </c>
      <c r="E19" s="172">
        <v>9</v>
      </c>
      <c r="F19" s="173">
        <v>0</v>
      </c>
      <c r="G19" s="174">
        <f t="shared" si="0"/>
        <v>0</v>
      </c>
    </row>
    <row r="20" spans="1:7" ht="27" customHeight="1">
      <c r="A20" s="194">
        <f t="shared" si="1"/>
        <v>14</v>
      </c>
      <c r="B20" s="175"/>
      <c r="C20" s="170" t="s">
        <v>528</v>
      </c>
      <c r="D20" s="176" t="s">
        <v>138</v>
      </c>
      <c r="E20" s="172">
        <v>9</v>
      </c>
      <c r="F20" s="173">
        <v>0</v>
      </c>
      <c r="G20" s="174">
        <f t="shared" si="0"/>
        <v>0</v>
      </c>
    </row>
    <row r="21" spans="1:7" ht="27" customHeight="1">
      <c r="A21" s="194">
        <f t="shared" si="1"/>
        <v>15</v>
      </c>
      <c r="B21" s="175" t="s">
        <v>529</v>
      </c>
      <c r="C21" s="170" t="s">
        <v>530</v>
      </c>
      <c r="D21" s="171" t="s">
        <v>223</v>
      </c>
      <c r="E21" s="172">
        <v>2795</v>
      </c>
      <c r="F21" s="173">
        <v>0</v>
      </c>
      <c r="G21" s="174">
        <f t="shared" si="0"/>
        <v>0</v>
      </c>
    </row>
    <row r="22" spans="1:7" ht="27" customHeight="1">
      <c r="A22" s="194">
        <f t="shared" si="1"/>
        <v>16</v>
      </c>
      <c r="B22" s="175"/>
      <c r="C22" s="170" t="s">
        <v>531</v>
      </c>
      <c r="D22" s="171" t="s">
        <v>223</v>
      </c>
      <c r="E22" s="172">
        <v>75</v>
      </c>
      <c r="F22" s="173">
        <v>0</v>
      </c>
      <c r="G22" s="174">
        <f t="shared" si="0"/>
        <v>0</v>
      </c>
    </row>
    <row r="23" spans="1:7" ht="27" customHeight="1">
      <c r="A23" s="194">
        <f t="shared" si="1"/>
        <v>17</v>
      </c>
      <c r="B23" s="175"/>
      <c r="C23" s="170" t="s">
        <v>532</v>
      </c>
      <c r="D23" s="171" t="s">
        <v>223</v>
      </c>
      <c r="E23" s="172">
        <v>2720</v>
      </c>
      <c r="F23" s="173">
        <v>0</v>
      </c>
      <c r="G23" s="174">
        <f t="shared" si="0"/>
        <v>0</v>
      </c>
    </row>
    <row r="24" spans="1:7" ht="27" customHeight="1">
      <c r="A24" s="194">
        <f t="shared" si="1"/>
        <v>18</v>
      </c>
      <c r="B24" s="175"/>
      <c r="C24" s="170" t="s">
        <v>533</v>
      </c>
      <c r="D24" s="171" t="s">
        <v>223</v>
      </c>
      <c r="E24" s="172">
        <v>2795</v>
      </c>
      <c r="F24" s="173">
        <v>0</v>
      </c>
      <c r="G24" s="174">
        <f t="shared" si="0"/>
        <v>0</v>
      </c>
    </row>
    <row r="25" spans="1:7" ht="27" customHeight="1">
      <c r="A25" s="194">
        <f t="shared" si="1"/>
        <v>19</v>
      </c>
      <c r="B25" s="175" t="s">
        <v>534</v>
      </c>
      <c r="C25" s="170" t="s">
        <v>535</v>
      </c>
      <c r="D25" s="171" t="s">
        <v>223</v>
      </c>
      <c r="E25" s="172">
        <v>1</v>
      </c>
      <c r="F25" s="173">
        <v>0</v>
      </c>
      <c r="G25" s="174">
        <f t="shared" si="0"/>
        <v>0</v>
      </c>
    </row>
    <row r="26" spans="1:7" ht="27" customHeight="1">
      <c r="A26" s="194">
        <f t="shared" si="1"/>
        <v>20</v>
      </c>
      <c r="B26" s="175"/>
      <c r="C26" s="170" t="s">
        <v>536</v>
      </c>
      <c r="D26" s="171" t="s">
        <v>223</v>
      </c>
      <c r="E26" s="172">
        <v>1</v>
      </c>
      <c r="F26" s="173">
        <v>0</v>
      </c>
      <c r="G26" s="174">
        <f t="shared" si="0"/>
        <v>0</v>
      </c>
    </row>
    <row r="27" spans="1:7" ht="27" customHeight="1">
      <c r="A27" s="194">
        <f t="shared" si="1"/>
        <v>21</v>
      </c>
      <c r="B27" s="175" t="s">
        <v>537</v>
      </c>
      <c r="C27" s="170" t="s">
        <v>538</v>
      </c>
      <c r="D27" s="171" t="s">
        <v>223</v>
      </c>
      <c r="E27" s="172">
        <v>11</v>
      </c>
      <c r="F27" s="173">
        <v>0</v>
      </c>
      <c r="G27" s="174">
        <f t="shared" si="0"/>
        <v>0</v>
      </c>
    </row>
    <row r="28" spans="1:7" ht="27" customHeight="1">
      <c r="A28" s="194">
        <f t="shared" si="1"/>
        <v>22</v>
      </c>
      <c r="B28" s="175" t="s">
        <v>539</v>
      </c>
      <c r="C28" s="170" t="s">
        <v>540</v>
      </c>
      <c r="D28" s="171" t="s">
        <v>223</v>
      </c>
      <c r="E28" s="172">
        <v>1</v>
      </c>
      <c r="F28" s="173">
        <v>0</v>
      </c>
      <c r="G28" s="174">
        <f t="shared" si="0"/>
        <v>0</v>
      </c>
    </row>
    <row r="29" spans="1:7" ht="27" customHeight="1">
      <c r="A29" s="194">
        <f t="shared" si="1"/>
        <v>23</v>
      </c>
      <c r="B29" s="175" t="s">
        <v>541</v>
      </c>
      <c r="C29" s="170" t="s">
        <v>542</v>
      </c>
      <c r="D29" s="171" t="s">
        <v>223</v>
      </c>
      <c r="E29" s="172">
        <v>1</v>
      </c>
      <c r="F29" s="173">
        <v>0</v>
      </c>
      <c r="G29" s="174">
        <f t="shared" si="0"/>
        <v>0</v>
      </c>
    </row>
    <row r="30" spans="1:7" ht="27" customHeight="1">
      <c r="A30" s="194">
        <f t="shared" si="1"/>
        <v>24</v>
      </c>
      <c r="B30" s="175" t="s">
        <v>543</v>
      </c>
      <c r="C30" s="170" t="s">
        <v>544</v>
      </c>
      <c r="D30" s="171" t="s">
        <v>223</v>
      </c>
      <c r="E30" s="172">
        <v>1</v>
      </c>
      <c r="F30" s="173">
        <v>0</v>
      </c>
      <c r="G30" s="174">
        <f t="shared" si="0"/>
        <v>0</v>
      </c>
    </row>
    <row r="31" spans="1:7" ht="27" customHeight="1">
      <c r="A31" s="194">
        <f t="shared" si="1"/>
        <v>25</v>
      </c>
      <c r="B31" s="175"/>
      <c r="C31" s="170" t="s">
        <v>545</v>
      </c>
      <c r="D31" s="171" t="s">
        <v>223</v>
      </c>
      <c r="E31" s="172">
        <v>1</v>
      </c>
      <c r="F31" s="173">
        <v>0</v>
      </c>
      <c r="G31" s="174">
        <f t="shared" si="0"/>
        <v>0</v>
      </c>
    </row>
    <row r="32" spans="1:7" ht="27" customHeight="1">
      <c r="A32" s="194">
        <f t="shared" si="1"/>
        <v>26</v>
      </c>
      <c r="B32" s="175"/>
      <c r="C32" s="170" t="s">
        <v>546</v>
      </c>
      <c r="D32" s="171" t="s">
        <v>223</v>
      </c>
      <c r="E32" s="172">
        <v>1</v>
      </c>
      <c r="F32" s="173">
        <v>0</v>
      </c>
      <c r="G32" s="174">
        <f t="shared" si="0"/>
        <v>0</v>
      </c>
    </row>
    <row r="33" spans="1:7" ht="27" customHeight="1">
      <c r="A33" s="194">
        <f t="shared" si="1"/>
        <v>27</v>
      </c>
      <c r="B33" s="175"/>
      <c r="C33" s="170" t="s">
        <v>547</v>
      </c>
      <c r="D33" s="171" t="s">
        <v>223</v>
      </c>
      <c r="E33" s="172">
        <v>1</v>
      </c>
      <c r="F33" s="173">
        <v>0</v>
      </c>
      <c r="G33" s="174">
        <f t="shared" si="0"/>
        <v>0</v>
      </c>
    </row>
    <row r="34" spans="1:7" ht="27" customHeight="1">
      <c r="A34" s="194">
        <f t="shared" si="1"/>
        <v>28</v>
      </c>
      <c r="B34" s="175"/>
      <c r="C34" s="170" t="s">
        <v>548</v>
      </c>
      <c r="D34" s="176" t="s">
        <v>223</v>
      </c>
      <c r="E34" s="172">
        <v>1</v>
      </c>
      <c r="F34" s="173">
        <v>0</v>
      </c>
      <c r="G34" s="174">
        <f t="shared" si="0"/>
        <v>0</v>
      </c>
    </row>
    <row r="35" spans="1:7" ht="27" customHeight="1">
      <c r="A35" s="194">
        <f t="shared" si="1"/>
        <v>29</v>
      </c>
      <c r="B35" s="175"/>
      <c r="C35" s="170" t="s">
        <v>549</v>
      </c>
      <c r="D35" s="171" t="s">
        <v>223</v>
      </c>
      <c r="E35" s="172">
        <v>1</v>
      </c>
      <c r="F35" s="173">
        <v>0</v>
      </c>
      <c r="G35" s="174">
        <f t="shared" si="0"/>
        <v>0</v>
      </c>
    </row>
    <row r="36" spans="1:7" ht="27" customHeight="1">
      <c r="A36" s="195"/>
      <c r="B36" s="196"/>
      <c r="C36" s="196"/>
      <c r="D36" s="196"/>
      <c r="E36" s="196"/>
      <c r="F36" s="196"/>
      <c r="G36" s="177"/>
    </row>
    <row r="37" spans="1:7" ht="27" customHeight="1">
      <c r="A37" s="191"/>
      <c r="B37" s="192" t="s">
        <v>507</v>
      </c>
      <c r="C37" s="192" t="s">
        <v>550</v>
      </c>
      <c r="D37" s="193"/>
      <c r="E37" s="193"/>
      <c r="F37" s="193"/>
      <c r="G37" s="178">
        <f>SUM(G38:G54)</f>
        <v>0</v>
      </c>
    </row>
    <row r="38" spans="1:7" ht="27" customHeight="1">
      <c r="A38" s="194" t="s">
        <v>7</v>
      </c>
      <c r="B38" s="169"/>
      <c r="C38" s="170" t="s">
        <v>551</v>
      </c>
      <c r="D38" s="171" t="s">
        <v>223</v>
      </c>
      <c r="E38" s="172">
        <v>1</v>
      </c>
      <c r="F38" s="173">
        <v>0</v>
      </c>
      <c r="G38" s="174">
        <f aca="true" t="shared" si="2" ref="G38:G52">F38*E38</f>
        <v>0</v>
      </c>
    </row>
    <row r="39" spans="1:7" ht="27" customHeight="1">
      <c r="A39" s="194">
        <f aca="true" t="shared" si="3" ref="A39:A54">A38+1</f>
        <v>2</v>
      </c>
      <c r="B39" s="175"/>
      <c r="C39" s="170" t="s">
        <v>552</v>
      </c>
      <c r="D39" s="171" t="s">
        <v>223</v>
      </c>
      <c r="E39" s="172">
        <v>1</v>
      </c>
      <c r="F39" s="173">
        <v>0</v>
      </c>
      <c r="G39" s="174">
        <f t="shared" si="2"/>
        <v>0</v>
      </c>
    </row>
    <row r="40" spans="1:7" ht="27" customHeight="1">
      <c r="A40" s="194">
        <f t="shared" si="3"/>
        <v>3</v>
      </c>
      <c r="B40" s="169"/>
      <c r="C40" s="170" t="s">
        <v>553</v>
      </c>
      <c r="D40" s="176" t="s">
        <v>223</v>
      </c>
      <c r="E40" s="172">
        <v>1</v>
      </c>
      <c r="F40" s="173">
        <v>0</v>
      </c>
      <c r="G40" s="174">
        <f t="shared" si="2"/>
        <v>0</v>
      </c>
    </row>
    <row r="41" spans="1:7" ht="27" customHeight="1">
      <c r="A41" s="194">
        <f t="shared" si="3"/>
        <v>4</v>
      </c>
      <c r="B41" s="169"/>
      <c r="C41" s="170" t="s">
        <v>554</v>
      </c>
      <c r="D41" s="176" t="s">
        <v>223</v>
      </c>
      <c r="E41" s="172">
        <v>1</v>
      </c>
      <c r="F41" s="173">
        <v>0</v>
      </c>
      <c r="G41" s="174">
        <f t="shared" si="2"/>
        <v>0</v>
      </c>
    </row>
    <row r="42" spans="1:7" ht="27" customHeight="1">
      <c r="A42" s="194">
        <f t="shared" si="3"/>
        <v>5</v>
      </c>
      <c r="B42" s="169" t="s">
        <v>555</v>
      </c>
      <c r="C42" s="170" t="s">
        <v>556</v>
      </c>
      <c r="D42" s="176" t="s">
        <v>223</v>
      </c>
      <c r="E42" s="172">
        <v>8</v>
      </c>
      <c r="F42" s="173">
        <v>0</v>
      </c>
      <c r="G42" s="174">
        <f t="shared" si="2"/>
        <v>0</v>
      </c>
    </row>
    <row r="43" spans="1:7" ht="27" customHeight="1">
      <c r="A43" s="194">
        <f t="shared" si="3"/>
        <v>6</v>
      </c>
      <c r="B43" s="169" t="s">
        <v>557</v>
      </c>
      <c r="C43" s="170" t="s">
        <v>558</v>
      </c>
      <c r="D43" s="176" t="s">
        <v>223</v>
      </c>
      <c r="E43" s="172">
        <v>8</v>
      </c>
      <c r="F43" s="173">
        <v>0</v>
      </c>
      <c r="G43" s="174">
        <f t="shared" si="2"/>
        <v>0</v>
      </c>
    </row>
    <row r="44" spans="1:7" ht="27" customHeight="1">
      <c r="A44" s="194">
        <f t="shared" si="3"/>
        <v>7</v>
      </c>
      <c r="B44" s="175" t="s">
        <v>522</v>
      </c>
      <c r="C44" s="170" t="s">
        <v>523</v>
      </c>
      <c r="D44" s="176" t="s">
        <v>138</v>
      </c>
      <c r="E44" s="172">
        <v>60</v>
      </c>
      <c r="F44" s="173">
        <v>0</v>
      </c>
      <c r="G44" s="174">
        <f t="shared" si="2"/>
        <v>0</v>
      </c>
    </row>
    <row r="45" spans="1:7" ht="27" customHeight="1">
      <c r="A45" s="194">
        <f t="shared" si="3"/>
        <v>8</v>
      </c>
      <c r="B45" s="175"/>
      <c r="C45" s="170" t="s">
        <v>559</v>
      </c>
      <c r="D45" s="176" t="s">
        <v>138</v>
      </c>
      <c r="E45" s="172">
        <v>60</v>
      </c>
      <c r="F45" s="173">
        <v>0</v>
      </c>
      <c r="G45" s="174">
        <f t="shared" si="2"/>
        <v>0</v>
      </c>
    </row>
    <row r="46" spans="1:7" ht="27" customHeight="1">
      <c r="A46" s="194">
        <f t="shared" si="3"/>
        <v>9</v>
      </c>
      <c r="B46" s="175" t="s">
        <v>526</v>
      </c>
      <c r="C46" s="170" t="s">
        <v>527</v>
      </c>
      <c r="D46" s="176" t="s">
        <v>138</v>
      </c>
      <c r="E46" s="172">
        <v>15</v>
      </c>
      <c r="F46" s="173">
        <v>0</v>
      </c>
      <c r="G46" s="174">
        <f t="shared" si="2"/>
        <v>0</v>
      </c>
    </row>
    <row r="47" spans="1:7" ht="27" customHeight="1">
      <c r="A47" s="194">
        <f t="shared" si="3"/>
        <v>10</v>
      </c>
      <c r="B47" s="175"/>
      <c r="C47" s="170" t="s">
        <v>528</v>
      </c>
      <c r="D47" s="176" t="s">
        <v>138</v>
      </c>
      <c r="E47" s="172">
        <v>15</v>
      </c>
      <c r="F47" s="173">
        <v>0</v>
      </c>
      <c r="G47" s="174">
        <f t="shared" si="2"/>
        <v>0</v>
      </c>
    </row>
    <row r="48" spans="1:7" ht="27" customHeight="1">
      <c r="A48" s="194">
        <f t="shared" si="3"/>
        <v>11</v>
      </c>
      <c r="B48" s="175" t="s">
        <v>534</v>
      </c>
      <c r="C48" s="170" t="s">
        <v>535</v>
      </c>
      <c r="D48" s="171" t="s">
        <v>223</v>
      </c>
      <c r="E48" s="172">
        <v>1</v>
      </c>
      <c r="F48" s="173">
        <v>0</v>
      </c>
      <c r="G48" s="174">
        <f t="shared" si="2"/>
        <v>0</v>
      </c>
    </row>
    <row r="49" spans="1:7" ht="27" customHeight="1">
      <c r="A49" s="194">
        <f t="shared" si="3"/>
        <v>12</v>
      </c>
      <c r="B49" s="175"/>
      <c r="C49" s="170" t="s">
        <v>536</v>
      </c>
      <c r="D49" s="171" t="s">
        <v>223</v>
      </c>
      <c r="E49" s="172">
        <v>1</v>
      </c>
      <c r="F49" s="173">
        <v>0</v>
      </c>
      <c r="G49" s="174">
        <f t="shared" si="2"/>
        <v>0</v>
      </c>
    </row>
    <row r="50" spans="1:7" ht="27" customHeight="1">
      <c r="A50" s="194">
        <f t="shared" si="3"/>
        <v>13</v>
      </c>
      <c r="B50" s="175" t="s">
        <v>560</v>
      </c>
      <c r="C50" s="170" t="s">
        <v>561</v>
      </c>
      <c r="D50" s="176" t="s">
        <v>223</v>
      </c>
      <c r="E50" s="172">
        <v>4</v>
      </c>
      <c r="F50" s="173">
        <v>0</v>
      </c>
      <c r="G50" s="174">
        <f t="shared" si="2"/>
        <v>0</v>
      </c>
    </row>
    <row r="51" spans="1:7" ht="27" customHeight="1">
      <c r="A51" s="194">
        <f t="shared" si="3"/>
        <v>14</v>
      </c>
      <c r="B51" s="175"/>
      <c r="C51" s="170" t="s">
        <v>546</v>
      </c>
      <c r="D51" s="171" t="s">
        <v>223</v>
      </c>
      <c r="E51" s="172">
        <v>1</v>
      </c>
      <c r="F51" s="173">
        <v>0</v>
      </c>
      <c r="G51" s="174">
        <f t="shared" si="2"/>
        <v>0</v>
      </c>
    </row>
    <row r="52" spans="1:7" ht="27" customHeight="1">
      <c r="A52" s="194">
        <f t="shared" si="3"/>
        <v>15</v>
      </c>
      <c r="B52" s="175"/>
      <c r="C52" s="170" t="s">
        <v>547</v>
      </c>
      <c r="D52" s="171" t="s">
        <v>223</v>
      </c>
      <c r="E52" s="172">
        <v>1</v>
      </c>
      <c r="F52" s="173">
        <v>0</v>
      </c>
      <c r="G52" s="174">
        <f t="shared" si="2"/>
        <v>0</v>
      </c>
    </row>
    <row r="53" spans="1:7" ht="27" customHeight="1">
      <c r="A53" s="194">
        <f t="shared" si="3"/>
        <v>16</v>
      </c>
      <c r="B53" s="175"/>
      <c r="C53" s="170" t="s">
        <v>548</v>
      </c>
      <c r="D53" s="179" t="s">
        <v>223</v>
      </c>
      <c r="E53" s="180">
        <v>1</v>
      </c>
      <c r="F53" s="173">
        <v>0</v>
      </c>
      <c r="G53" s="181">
        <f>ROUND(F53*E53,2)</f>
        <v>0</v>
      </c>
    </row>
    <row r="54" spans="1:7" ht="27" customHeight="1">
      <c r="A54" s="194">
        <f t="shared" si="3"/>
        <v>17</v>
      </c>
      <c r="B54" s="175"/>
      <c r="C54" s="170" t="s">
        <v>549</v>
      </c>
      <c r="D54" s="171" t="s">
        <v>223</v>
      </c>
      <c r="E54" s="172">
        <v>1</v>
      </c>
      <c r="F54" s="173">
        <v>0</v>
      </c>
      <c r="G54" s="174">
        <f>F54*E54</f>
        <v>0</v>
      </c>
    </row>
    <row r="55" spans="1:7" ht="27" customHeight="1">
      <c r="A55" s="195"/>
      <c r="B55" s="196"/>
      <c r="C55" s="196"/>
      <c r="D55" s="196"/>
      <c r="E55" s="196"/>
      <c r="F55" s="196"/>
      <c r="G55" s="177"/>
    </row>
    <row r="56" spans="1:7" ht="27" customHeight="1">
      <c r="A56" s="197"/>
      <c r="B56" s="192" t="s">
        <v>507</v>
      </c>
      <c r="C56" s="192" t="s">
        <v>562</v>
      </c>
      <c r="D56" s="193"/>
      <c r="E56" s="193"/>
      <c r="F56" s="193"/>
      <c r="G56" s="168">
        <f>SUM(G57:G57)</f>
        <v>0</v>
      </c>
    </row>
    <row r="57" spans="1:7" ht="27" customHeight="1">
      <c r="A57" s="194" t="s">
        <v>7</v>
      </c>
      <c r="B57" s="169" t="s">
        <v>563</v>
      </c>
      <c r="C57" s="170" t="s">
        <v>564</v>
      </c>
      <c r="D57" s="171" t="s">
        <v>223</v>
      </c>
      <c r="E57" s="172">
        <v>1</v>
      </c>
      <c r="F57" s="173">
        <v>0</v>
      </c>
      <c r="G57" s="174">
        <f>F57*E57</f>
        <v>0</v>
      </c>
    </row>
    <row r="58" spans="1:7" ht="27" customHeight="1">
      <c r="A58" s="195"/>
      <c r="B58" s="196"/>
      <c r="C58" s="196"/>
      <c r="D58" s="196"/>
      <c r="E58" s="196"/>
      <c r="F58" s="196">
        <v>0</v>
      </c>
      <c r="G58" s="177"/>
    </row>
    <row r="59" spans="1:7" ht="27" customHeight="1">
      <c r="A59" s="191"/>
      <c r="B59" s="192" t="s">
        <v>507</v>
      </c>
      <c r="C59" s="192" t="s">
        <v>565</v>
      </c>
      <c r="D59" s="193"/>
      <c r="E59" s="193"/>
      <c r="F59" s="193"/>
      <c r="G59" s="178">
        <f>SUM(G60:G71)</f>
        <v>0</v>
      </c>
    </row>
    <row r="60" spans="1:7" ht="27" customHeight="1">
      <c r="A60" s="194" t="s">
        <v>7</v>
      </c>
      <c r="B60" s="175"/>
      <c r="C60" s="170" t="s">
        <v>566</v>
      </c>
      <c r="D60" s="176" t="s">
        <v>223</v>
      </c>
      <c r="E60" s="172">
        <v>1</v>
      </c>
      <c r="F60" s="173">
        <v>0</v>
      </c>
      <c r="G60" s="174">
        <f aca="true" t="shared" si="4" ref="G60:G71">F60*E60</f>
        <v>0</v>
      </c>
    </row>
    <row r="61" spans="1:7" ht="27" customHeight="1">
      <c r="A61" s="194">
        <f aca="true" t="shared" si="5" ref="A61:A71">A60+1</f>
        <v>2</v>
      </c>
      <c r="B61" s="175"/>
      <c r="C61" s="170" t="s">
        <v>567</v>
      </c>
      <c r="D61" s="176" t="s">
        <v>223</v>
      </c>
      <c r="E61" s="172">
        <v>1</v>
      </c>
      <c r="F61" s="173">
        <v>0</v>
      </c>
      <c r="G61" s="174">
        <f t="shared" si="4"/>
        <v>0</v>
      </c>
    </row>
    <row r="62" spans="1:7" ht="27" customHeight="1">
      <c r="A62" s="194">
        <f t="shared" si="5"/>
        <v>3</v>
      </c>
      <c r="B62" s="169" t="s">
        <v>522</v>
      </c>
      <c r="C62" s="170" t="s">
        <v>523</v>
      </c>
      <c r="D62" s="182" t="s">
        <v>138</v>
      </c>
      <c r="E62" s="183">
        <v>5</v>
      </c>
      <c r="F62" s="173">
        <v>0</v>
      </c>
      <c r="G62" s="174">
        <f t="shared" si="4"/>
        <v>0</v>
      </c>
    </row>
    <row r="63" spans="1:7" ht="27" customHeight="1">
      <c r="A63" s="194">
        <f t="shared" si="5"/>
        <v>4</v>
      </c>
      <c r="B63" s="175"/>
      <c r="C63" s="170" t="s">
        <v>568</v>
      </c>
      <c r="D63" s="176" t="s">
        <v>138</v>
      </c>
      <c r="E63" s="172">
        <v>5</v>
      </c>
      <c r="F63" s="173">
        <v>0</v>
      </c>
      <c r="G63" s="174">
        <f t="shared" si="4"/>
        <v>0</v>
      </c>
    </row>
    <row r="64" spans="1:7" ht="27" customHeight="1">
      <c r="A64" s="194">
        <f t="shared" si="5"/>
        <v>5</v>
      </c>
      <c r="B64" s="169" t="s">
        <v>569</v>
      </c>
      <c r="C64" s="170" t="s">
        <v>570</v>
      </c>
      <c r="D64" s="176" t="s">
        <v>138</v>
      </c>
      <c r="E64" s="172">
        <v>5</v>
      </c>
      <c r="F64" s="173">
        <v>0</v>
      </c>
      <c r="G64" s="174">
        <f t="shared" si="4"/>
        <v>0</v>
      </c>
    </row>
    <row r="65" spans="1:7" ht="27" customHeight="1">
      <c r="A65" s="194">
        <f t="shared" si="5"/>
        <v>6</v>
      </c>
      <c r="B65" s="175"/>
      <c r="C65" s="170" t="s">
        <v>571</v>
      </c>
      <c r="D65" s="176" t="s">
        <v>138</v>
      </c>
      <c r="E65" s="172">
        <v>5</v>
      </c>
      <c r="F65" s="173">
        <v>0</v>
      </c>
      <c r="G65" s="174">
        <f t="shared" si="4"/>
        <v>0</v>
      </c>
    </row>
    <row r="66" spans="1:7" ht="27" customHeight="1">
      <c r="A66" s="194">
        <f t="shared" si="5"/>
        <v>7</v>
      </c>
      <c r="B66" s="175" t="s">
        <v>572</v>
      </c>
      <c r="C66" s="170" t="s">
        <v>573</v>
      </c>
      <c r="D66" s="171" t="s">
        <v>223</v>
      </c>
      <c r="E66" s="172">
        <v>1</v>
      </c>
      <c r="F66" s="173">
        <v>0</v>
      </c>
      <c r="G66" s="174">
        <f t="shared" si="4"/>
        <v>0</v>
      </c>
    </row>
    <row r="67" spans="1:7" ht="27" customHeight="1">
      <c r="A67" s="194">
        <f t="shared" si="5"/>
        <v>8</v>
      </c>
      <c r="B67" s="175"/>
      <c r="C67" s="170" t="s">
        <v>574</v>
      </c>
      <c r="D67" s="171" t="s">
        <v>223</v>
      </c>
      <c r="E67" s="172">
        <v>1</v>
      </c>
      <c r="F67" s="173">
        <v>0</v>
      </c>
      <c r="G67" s="174">
        <f t="shared" si="4"/>
        <v>0</v>
      </c>
    </row>
    <row r="68" spans="1:7" ht="27" customHeight="1">
      <c r="A68" s="194">
        <f t="shared" si="5"/>
        <v>9</v>
      </c>
      <c r="B68" s="175"/>
      <c r="C68" s="170" t="s">
        <v>546</v>
      </c>
      <c r="D68" s="171" t="s">
        <v>223</v>
      </c>
      <c r="E68" s="172">
        <v>1</v>
      </c>
      <c r="F68" s="173">
        <v>0</v>
      </c>
      <c r="G68" s="174">
        <f t="shared" si="4"/>
        <v>0</v>
      </c>
    </row>
    <row r="69" spans="1:7" ht="27" customHeight="1">
      <c r="A69" s="194">
        <f t="shared" si="5"/>
        <v>10</v>
      </c>
      <c r="B69" s="175"/>
      <c r="C69" s="170" t="s">
        <v>547</v>
      </c>
      <c r="D69" s="171" t="s">
        <v>223</v>
      </c>
      <c r="E69" s="172">
        <v>1</v>
      </c>
      <c r="F69" s="173">
        <v>0</v>
      </c>
      <c r="G69" s="174">
        <f t="shared" si="4"/>
        <v>0</v>
      </c>
    </row>
    <row r="70" spans="1:7" ht="27" customHeight="1">
      <c r="A70" s="194">
        <f t="shared" si="5"/>
        <v>11</v>
      </c>
      <c r="B70" s="175"/>
      <c r="C70" s="170" t="s">
        <v>548</v>
      </c>
      <c r="D70" s="176" t="s">
        <v>223</v>
      </c>
      <c r="E70" s="172">
        <v>1</v>
      </c>
      <c r="F70" s="173">
        <v>0</v>
      </c>
      <c r="G70" s="174">
        <f t="shared" si="4"/>
        <v>0</v>
      </c>
    </row>
    <row r="71" spans="1:7" ht="27" customHeight="1">
      <c r="A71" s="198">
        <f t="shared" si="5"/>
        <v>12</v>
      </c>
      <c r="B71" s="199"/>
      <c r="C71" s="200" t="s">
        <v>549</v>
      </c>
      <c r="D71" s="201" t="s">
        <v>223</v>
      </c>
      <c r="E71" s="202">
        <v>1</v>
      </c>
      <c r="F71" s="203">
        <v>0</v>
      </c>
      <c r="G71" s="204">
        <f t="shared" si="4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4"/>
  <sheetViews>
    <sheetView zoomScale="50" zoomScaleNormal="50" zoomScalePageLayoutView="0" workbookViewId="0" topLeftCell="A90">
      <selection activeCell="G115" sqref="G115"/>
    </sheetView>
  </sheetViews>
  <sheetFormatPr defaultColWidth="9.140625" defaultRowHeight="12.75"/>
  <cols>
    <col min="1" max="1" width="8.7109375" style="65" customWidth="1"/>
    <col min="3" max="3" width="46.57421875" style="0" customWidth="1"/>
    <col min="6" max="6" width="10.421875" style="0" customWidth="1"/>
    <col min="7" max="7" width="14.8515625" style="0" customWidth="1"/>
    <col min="8" max="8" width="16.140625" style="0" customWidth="1"/>
  </cols>
  <sheetData>
    <row r="1" spans="1:8" ht="15">
      <c r="A1" s="418" t="s">
        <v>295</v>
      </c>
      <c r="B1" s="418"/>
      <c r="C1" s="418"/>
      <c r="D1" s="418"/>
      <c r="E1" s="418"/>
      <c r="F1" s="418"/>
      <c r="G1" s="418"/>
      <c r="H1" s="418"/>
    </row>
    <row r="3" spans="1:8" s="65" customFormat="1" ht="12">
      <c r="A3" s="253" t="s">
        <v>682</v>
      </c>
      <c r="B3" s="253" t="s">
        <v>677</v>
      </c>
      <c r="C3" s="253" t="s">
        <v>678</v>
      </c>
      <c r="D3" s="254" t="s">
        <v>679</v>
      </c>
      <c r="E3" s="255" t="s">
        <v>142</v>
      </c>
      <c r="F3" s="254" t="s">
        <v>680</v>
      </c>
      <c r="G3" s="254" t="s">
        <v>681</v>
      </c>
      <c r="H3" s="221" t="s">
        <v>683</v>
      </c>
    </row>
    <row r="4" spans="1:8" s="227" customFormat="1" ht="12.75" customHeight="1">
      <c r="A4" s="256"/>
      <c r="B4" s="256"/>
      <c r="C4" s="257" t="s">
        <v>575</v>
      </c>
      <c r="D4" s="258"/>
      <c r="E4" s="258"/>
      <c r="F4" s="259"/>
      <c r="G4" s="260"/>
      <c r="H4" s="261">
        <f>SUM(H6:H10)</f>
        <v>0</v>
      </c>
    </row>
    <row r="5" spans="1:8" ht="15.75" customHeight="1">
      <c r="A5" s="245"/>
      <c r="B5" s="246"/>
      <c r="C5" s="247" t="s">
        <v>576</v>
      </c>
      <c r="D5" s="248"/>
      <c r="E5" s="249"/>
      <c r="F5" s="250"/>
      <c r="G5" s="251"/>
      <c r="H5" s="252"/>
    </row>
    <row r="6" spans="1:8" ht="15.75" customHeight="1">
      <c r="A6" s="228"/>
      <c r="B6" s="209"/>
      <c r="C6" s="210" t="s">
        <v>577</v>
      </c>
      <c r="D6" s="205"/>
      <c r="E6" s="206"/>
      <c r="F6" s="207"/>
      <c r="G6" s="222"/>
      <c r="H6" s="223">
        <f>SUM(H13:H19)</f>
        <v>0</v>
      </c>
    </row>
    <row r="7" spans="1:8" ht="15.75" customHeight="1">
      <c r="A7" s="228"/>
      <c r="B7" s="209"/>
      <c r="C7" s="210" t="s">
        <v>578</v>
      </c>
      <c r="D7" s="205"/>
      <c r="E7" s="206"/>
      <c r="F7" s="207"/>
      <c r="G7" s="222"/>
      <c r="H7" s="223">
        <f>SUM(H22:H67)</f>
        <v>0</v>
      </c>
    </row>
    <row r="8" spans="1:8" ht="15.75" customHeight="1">
      <c r="A8" s="228"/>
      <c r="B8" s="209"/>
      <c r="C8" s="210" t="s">
        <v>579</v>
      </c>
      <c r="D8" s="205"/>
      <c r="E8" s="206"/>
      <c r="F8" s="207"/>
      <c r="G8" s="222"/>
      <c r="H8" s="223">
        <f>SUM(H70)</f>
        <v>0</v>
      </c>
    </row>
    <row r="9" spans="1:8" ht="15.75" customHeight="1">
      <c r="A9" s="228"/>
      <c r="B9" s="209"/>
      <c r="C9" s="210" t="s">
        <v>580</v>
      </c>
      <c r="D9" s="205"/>
      <c r="E9" s="206"/>
      <c r="F9" s="207"/>
      <c r="G9" s="222"/>
      <c r="H9" s="223">
        <f>SUM(H73:H90)</f>
        <v>0</v>
      </c>
    </row>
    <row r="10" spans="1:8" ht="15.75" customHeight="1">
      <c r="A10" s="228"/>
      <c r="B10" s="209"/>
      <c r="C10" s="210" t="s">
        <v>581</v>
      </c>
      <c r="D10" s="205"/>
      <c r="E10" s="206"/>
      <c r="F10" s="207"/>
      <c r="G10" s="222"/>
      <c r="H10" s="223">
        <f>SUM(H93:H104)</f>
        <v>0</v>
      </c>
    </row>
    <row r="11" spans="1:8" ht="15" customHeight="1">
      <c r="A11" s="229"/>
      <c r="B11" s="209"/>
      <c r="C11" s="208"/>
      <c r="D11" s="205"/>
      <c r="E11" s="206"/>
      <c r="F11" s="207"/>
      <c r="G11" s="222"/>
      <c r="H11" s="222"/>
    </row>
    <row r="12" spans="1:8" ht="19.5" customHeight="1">
      <c r="A12" s="228"/>
      <c r="B12" s="211"/>
      <c r="C12" s="210" t="s">
        <v>577</v>
      </c>
      <c r="D12" s="212"/>
      <c r="E12" s="213"/>
      <c r="F12" s="214"/>
      <c r="G12" s="224"/>
      <c r="H12" s="224"/>
    </row>
    <row r="13" spans="1:8" ht="39.75" customHeight="1">
      <c r="A13" s="230">
        <v>1</v>
      </c>
      <c r="B13" s="215"/>
      <c r="C13" s="216" t="s">
        <v>582</v>
      </c>
      <c r="D13" s="213" t="s">
        <v>223</v>
      </c>
      <c r="E13" s="213">
        <v>2</v>
      </c>
      <c r="F13" s="217">
        <v>0</v>
      </c>
      <c r="G13" s="225">
        <v>0</v>
      </c>
      <c r="H13" s="226">
        <f aca="true" t="shared" si="0" ref="H13:H44">E13*(F13+G13)</f>
        <v>0</v>
      </c>
    </row>
    <row r="14" spans="1:8" ht="39.75" customHeight="1">
      <c r="A14" s="230">
        <v>2</v>
      </c>
      <c r="B14" s="215"/>
      <c r="C14" s="216" t="s">
        <v>583</v>
      </c>
      <c r="D14" s="213" t="s">
        <v>223</v>
      </c>
      <c r="E14" s="213">
        <v>1</v>
      </c>
      <c r="F14" s="217">
        <v>0</v>
      </c>
      <c r="G14" s="225">
        <v>0</v>
      </c>
      <c r="H14" s="226">
        <f t="shared" si="0"/>
        <v>0</v>
      </c>
    </row>
    <row r="15" spans="1:8" ht="39.75" customHeight="1">
      <c r="A15" s="230">
        <v>3</v>
      </c>
      <c r="B15" s="215"/>
      <c r="C15" s="216" t="s">
        <v>584</v>
      </c>
      <c r="D15" s="213" t="s">
        <v>223</v>
      </c>
      <c r="E15" s="213">
        <v>1</v>
      </c>
      <c r="F15" s="217">
        <v>0</v>
      </c>
      <c r="G15" s="225">
        <v>0</v>
      </c>
      <c r="H15" s="226">
        <f t="shared" si="0"/>
        <v>0</v>
      </c>
    </row>
    <row r="16" spans="1:8" ht="39.75" customHeight="1">
      <c r="A16" s="230">
        <v>4</v>
      </c>
      <c r="B16" s="215"/>
      <c r="C16" s="216" t="s">
        <v>585</v>
      </c>
      <c r="D16" s="213" t="s">
        <v>223</v>
      </c>
      <c r="E16" s="213">
        <v>2</v>
      </c>
      <c r="F16" s="217">
        <v>0</v>
      </c>
      <c r="G16" s="225">
        <v>0</v>
      </c>
      <c r="H16" s="226">
        <f t="shared" si="0"/>
        <v>0</v>
      </c>
    </row>
    <row r="17" spans="1:8" ht="39.75" customHeight="1">
      <c r="A17" s="230">
        <v>5</v>
      </c>
      <c r="B17" s="215"/>
      <c r="C17" s="216" t="s">
        <v>586</v>
      </c>
      <c r="D17" s="213" t="s">
        <v>223</v>
      </c>
      <c r="E17" s="213">
        <v>2</v>
      </c>
      <c r="F17" s="217">
        <v>0</v>
      </c>
      <c r="G17" s="225">
        <v>0</v>
      </c>
      <c r="H17" s="226">
        <f t="shared" si="0"/>
        <v>0</v>
      </c>
    </row>
    <row r="18" spans="1:8" ht="39.75" customHeight="1">
      <c r="A18" s="230">
        <v>6</v>
      </c>
      <c r="B18" s="215"/>
      <c r="C18" s="216" t="s">
        <v>587</v>
      </c>
      <c r="D18" s="213" t="s">
        <v>223</v>
      </c>
      <c r="E18" s="213">
        <v>1</v>
      </c>
      <c r="F18" s="217">
        <v>0</v>
      </c>
      <c r="G18" s="225">
        <v>0</v>
      </c>
      <c r="H18" s="226">
        <f t="shared" si="0"/>
        <v>0</v>
      </c>
    </row>
    <row r="19" spans="1:8" ht="39.75" customHeight="1">
      <c r="A19" s="230">
        <v>7</v>
      </c>
      <c r="B19" s="215"/>
      <c r="C19" s="216" t="s">
        <v>588</v>
      </c>
      <c r="D19" s="213" t="s">
        <v>223</v>
      </c>
      <c r="E19" s="213">
        <v>2</v>
      </c>
      <c r="F19" s="217">
        <v>0</v>
      </c>
      <c r="G19" s="225">
        <v>0</v>
      </c>
      <c r="H19" s="226">
        <f t="shared" si="0"/>
        <v>0</v>
      </c>
    </row>
    <row r="20" spans="1:8" ht="18" customHeight="1">
      <c r="A20" s="230"/>
      <c r="B20" s="218"/>
      <c r="C20" s="219"/>
      <c r="D20" s="213"/>
      <c r="E20" s="213"/>
      <c r="F20" s="217"/>
      <c r="G20" s="225"/>
      <c r="H20" s="226">
        <f t="shared" si="0"/>
        <v>0</v>
      </c>
    </row>
    <row r="21" spans="1:8" ht="18" customHeight="1">
      <c r="A21" s="228"/>
      <c r="B21" s="211"/>
      <c r="C21" s="210" t="s">
        <v>578</v>
      </c>
      <c r="D21" s="212"/>
      <c r="E21" s="213"/>
      <c r="F21" s="217"/>
      <c r="G21" s="225"/>
      <c r="H21" s="226">
        <f t="shared" si="0"/>
        <v>0</v>
      </c>
    </row>
    <row r="22" spans="1:8" ht="39.75" customHeight="1">
      <c r="A22" s="230">
        <v>8</v>
      </c>
      <c r="B22" s="215"/>
      <c r="C22" s="216" t="s">
        <v>589</v>
      </c>
      <c r="D22" s="213" t="s">
        <v>223</v>
      </c>
      <c r="E22" s="213">
        <v>1</v>
      </c>
      <c r="F22" s="217">
        <v>0</v>
      </c>
      <c r="G22" s="225"/>
      <c r="H22" s="226">
        <f t="shared" si="0"/>
        <v>0</v>
      </c>
    </row>
    <row r="23" spans="1:8" ht="39.75" customHeight="1">
      <c r="A23" s="230">
        <v>9</v>
      </c>
      <c r="B23" s="215"/>
      <c r="C23" s="216" t="s">
        <v>590</v>
      </c>
      <c r="D23" s="213" t="s">
        <v>223</v>
      </c>
      <c r="E23" s="213">
        <v>1</v>
      </c>
      <c r="F23" s="217">
        <v>0</v>
      </c>
      <c r="G23" s="225"/>
      <c r="H23" s="226">
        <f t="shared" si="0"/>
        <v>0</v>
      </c>
    </row>
    <row r="24" spans="1:8" ht="39.75" customHeight="1">
      <c r="A24" s="230">
        <v>10</v>
      </c>
      <c r="B24" s="215"/>
      <c r="C24" s="216" t="s">
        <v>591</v>
      </c>
      <c r="D24" s="213" t="s">
        <v>223</v>
      </c>
      <c r="E24" s="213">
        <v>1</v>
      </c>
      <c r="F24" s="217">
        <v>0</v>
      </c>
      <c r="G24" s="225"/>
      <c r="H24" s="226">
        <f t="shared" si="0"/>
        <v>0</v>
      </c>
    </row>
    <row r="25" spans="1:8" ht="39.75" customHeight="1">
      <c r="A25" s="230">
        <v>11</v>
      </c>
      <c r="B25" s="215"/>
      <c r="C25" s="216" t="s">
        <v>592</v>
      </c>
      <c r="D25" s="213" t="s">
        <v>223</v>
      </c>
      <c r="E25" s="213">
        <v>1</v>
      </c>
      <c r="F25" s="217">
        <v>0</v>
      </c>
      <c r="G25" s="225"/>
      <c r="H25" s="226">
        <f t="shared" si="0"/>
        <v>0</v>
      </c>
    </row>
    <row r="26" spans="1:8" ht="39.75" customHeight="1">
      <c r="A26" s="230">
        <v>12</v>
      </c>
      <c r="B26" s="215"/>
      <c r="C26" s="216" t="s">
        <v>593</v>
      </c>
      <c r="D26" s="213" t="s">
        <v>223</v>
      </c>
      <c r="E26" s="213">
        <v>1</v>
      </c>
      <c r="F26" s="217">
        <v>0</v>
      </c>
      <c r="G26" s="225"/>
      <c r="H26" s="226">
        <f t="shared" si="0"/>
        <v>0</v>
      </c>
    </row>
    <row r="27" spans="1:8" ht="39.75" customHeight="1">
      <c r="A27" s="230">
        <v>13</v>
      </c>
      <c r="B27" s="215"/>
      <c r="C27" s="216" t="s">
        <v>594</v>
      </c>
      <c r="D27" s="213" t="s">
        <v>223</v>
      </c>
      <c r="E27" s="213">
        <v>1</v>
      </c>
      <c r="F27" s="217">
        <v>0</v>
      </c>
      <c r="G27" s="225"/>
      <c r="H27" s="226">
        <f t="shared" si="0"/>
        <v>0</v>
      </c>
    </row>
    <row r="28" spans="1:8" ht="39.75" customHeight="1">
      <c r="A28" s="230">
        <v>14</v>
      </c>
      <c r="B28" s="215"/>
      <c r="C28" s="216" t="s">
        <v>595</v>
      </c>
      <c r="D28" s="213" t="s">
        <v>223</v>
      </c>
      <c r="E28" s="213">
        <v>1</v>
      </c>
      <c r="F28" s="217">
        <v>0</v>
      </c>
      <c r="G28" s="225"/>
      <c r="H28" s="226">
        <f t="shared" si="0"/>
        <v>0</v>
      </c>
    </row>
    <row r="29" spans="1:8" ht="39.75" customHeight="1">
      <c r="A29" s="230">
        <v>15</v>
      </c>
      <c r="B29" s="215"/>
      <c r="C29" s="216" t="s">
        <v>596</v>
      </c>
      <c r="D29" s="213" t="s">
        <v>223</v>
      </c>
      <c r="E29" s="213">
        <v>2</v>
      </c>
      <c r="F29" s="217">
        <v>0</v>
      </c>
      <c r="G29" s="225"/>
      <c r="H29" s="226">
        <f t="shared" si="0"/>
        <v>0</v>
      </c>
    </row>
    <row r="30" spans="1:8" ht="39.75" customHeight="1">
      <c r="A30" s="230">
        <v>16</v>
      </c>
      <c r="B30" s="215"/>
      <c r="C30" s="216" t="s">
        <v>597</v>
      </c>
      <c r="D30" s="213" t="s">
        <v>223</v>
      </c>
      <c r="E30" s="213">
        <v>1</v>
      </c>
      <c r="F30" s="217">
        <v>0</v>
      </c>
      <c r="G30" s="225"/>
      <c r="H30" s="226">
        <f t="shared" si="0"/>
        <v>0</v>
      </c>
    </row>
    <row r="31" spans="1:8" ht="39.75" customHeight="1">
      <c r="A31" s="230">
        <v>17</v>
      </c>
      <c r="B31" s="215"/>
      <c r="C31" s="216" t="s">
        <v>598</v>
      </c>
      <c r="D31" s="213" t="s">
        <v>223</v>
      </c>
      <c r="E31" s="213">
        <v>4</v>
      </c>
      <c r="F31" s="217">
        <v>0</v>
      </c>
      <c r="G31" s="225"/>
      <c r="H31" s="226">
        <f t="shared" si="0"/>
        <v>0</v>
      </c>
    </row>
    <row r="32" spans="1:8" ht="39.75" customHeight="1">
      <c r="A32" s="230">
        <v>18</v>
      </c>
      <c r="B32" s="215"/>
      <c r="C32" s="216" t="s">
        <v>599</v>
      </c>
      <c r="D32" s="213" t="s">
        <v>223</v>
      </c>
      <c r="E32" s="213">
        <v>1</v>
      </c>
      <c r="F32" s="217">
        <v>0</v>
      </c>
      <c r="G32" s="225"/>
      <c r="H32" s="226">
        <f t="shared" si="0"/>
        <v>0</v>
      </c>
    </row>
    <row r="33" spans="1:8" ht="39.75" customHeight="1">
      <c r="A33" s="230">
        <v>19</v>
      </c>
      <c r="B33" s="215"/>
      <c r="C33" s="216" t="s">
        <v>600</v>
      </c>
      <c r="D33" s="213" t="s">
        <v>223</v>
      </c>
      <c r="E33" s="213">
        <v>1</v>
      </c>
      <c r="F33" s="217">
        <v>0</v>
      </c>
      <c r="G33" s="225"/>
      <c r="H33" s="226">
        <f t="shared" si="0"/>
        <v>0</v>
      </c>
    </row>
    <row r="34" spans="1:8" ht="39.75" customHeight="1">
      <c r="A34" s="230">
        <v>20</v>
      </c>
      <c r="B34" s="215"/>
      <c r="C34" s="216" t="s">
        <v>601</v>
      </c>
      <c r="D34" s="213" t="s">
        <v>223</v>
      </c>
      <c r="E34" s="213">
        <v>1</v>
      </c>
      <c r="F34" s="217">
        <v>0</v>
      </c>
      <c r="G34" s="225"/>
      <c r="H34" s="226">
        <f t="shared" si="0"/>
        <v>0</v>
      </c>
    </row>
    <row r="35" spans="1:8" ht="39.75" customHeight="1">
      <c r="A35" s="230">
        <v>21</v>
      </c>
      <c r="B35" s="215"/>
      <c r="C35" s="216" t="s">
        <v>602</v>
      </c>
      <c r="D35" s="213" t="s">
        <v>223</v>
      </c>
      <c r="E35" s="213">
        <v>1</v>
      </c>
      <c r="F35" s="217">
        <v>0</v>
      </c>
      <c r="G35" s="225"/>
      <c r="H35" s="226">
        <f t="shared" si="0"/>
        <v>0</v>
      </c>
    </row>
    <row r="36" spans="1:8" ht="39.75" customHeight="1">
      <c r="A36" s="230">
        <v>22</v>
      </c>
      <c r="B36" s="215"/>
      <c r="C36" s="216" t="s">
        <v>603</v>
      </c>
      <c r="D36" s="213" t="s">
        <v>223</v>
      </c>
      <c r="E36" s="213">
        <v>1</v>
      </c>
      <c r="F36" s="217">
        <v>0</v>
      </c>
      <c r="G36" s="225"/>
      <c r="H36" s="226">
        <f t="shared" si="0"/>
        <v>0</v>
      </c>
    </row>
    <row r="37" spans="1:8" ht="39.75" customHeight="1">
      <c r="A37" s="230">
        <v>23</v>
      </c>
      <c r="B37" s="215"/>
      <c r="C37" s="216" t="s">
        <v>604</v>
      </c>
      <c r="D37" s="213" t="s">
        <v>223</v>
      </c>
      <c r="E37" s="213">
        <v>104</v>
      </c>
      <c r="F37" s="217">
        <v>0</v>
      </c>
      <c r="G37" s="225"/>
      <c r="H37" s="226">
        <f t="shared" si="0"/>
        <v>0</v>
      </c>
    </row>
    <row r="38" spans="1:8" ht="18" customHeight="1">
      <c r="A38" s="230">
        <v>24</v>
      </c>
      <c r="B38" s="215"/>
      <c r="C38" s="216" t="s">
        <v>605</v>
      </c>
      <c r="D38" s="213" t="s">
        <v>223</v>
      </c>
      <c r="E38" s="213">
        <v>2</v>
      </c>
      <c r="F38" s="217">
        <v>0</v>
      </c>
      <c r="G38" s="225"/>
      <c r="H38" s="226">
        <f t="shared" si="0"/>
        <v>0</v>
      </c>
    </row>
    <row r="39" spans="1:8" ht="18" customHeight="1">
      <c r="A39" s="230">
        <v>25</v>
      </c>
      <c r="B39" s="215"/>
      <c r="C39" s="216" t="s">
        <v>606</v>
      </c>
      <c r="D39" s="213" t="s">
        <v>223</v>
      </c>
      <c r="E39" s="213">
        <v>1</v>
      </c>
      <c r="F39" s="217">
        <v>0</v>
      </c>
      <c r="G39" s="225"/>
      <c r="H39" s="226">
        <f t="shared" si="0"/>
        <v>0</v>
      </c>
    </row>
    <row r="40" spans="1:8" ht="39.75" customHeight="1">
      <c r="A40" s="230">
        <v>26</v>
      </c>
      <c r="B40" s="215"/>
      <c r="C40" s="216" t="s">
        <v>607</v>
      </c>
      <c r="D40" s="213" t="s">
        <v>223</v>
      </c>
      <c r="E40" s="213">
        <v>1</v>
      </c>
      <c r="F40" s="217">
        <v>0</v>
      </c>
      <c r="G40" s="225"/>
      <c r="H40" s="226">
        <f t="shared" si="0"/>
        <v>0</v>
      </c>
    </row>
    <row r="41" spans="1:8" ht="39.75" customHeight="1">
      <c r="A41" s="230">
        <v>27</v>
      </c>
      <c r="B41" s="215"/>
      <c r="C41" s="216" t="s">
        <v>608</v>
      </c>
      <c r="D41" s="213" t="s">
        <v>223</v>
      </c>
      <c r="E41" s="213">
        <v>1</v>
      </c>
      <c r="F41" s="217">
        <v>0</v>
      </c>
      <c r="G41" s="225"/>
      <c r="H41" s="226">
        <f t="shared" si="0"/>
        <v>0</v>
      </c>
    </row>
    <row r="42" spans="1:8" ht="39.75" customHeight="1">
      <c r="A42" s="230">
        <v>28</v>
      </c>
      <c r="B42" s="215"/>
      <c r="C42" s="216" t="s">
        <v>609</v>
      </c>
      <c r="D42" s="213" t="s">
        <v>223</v>
      </c>
      <c r="E42" s="213">
        <v>1</v>
      </c>
      <c r="F42" s="217">
        <v>0</v>
      </c>
      <c r="G42" s="225"/>
      <c r="H42" s="226">
        <f t="shared" si="0"/>
        <v>0</v>
      </c>
    </row>
    <row r="43" spans="1:8" ht="39.75" customHeight="1">
      <c r="A43" s="230">
        <v>29</v>
      </c>
      <c r="B43" s="215"/>
      <c r="C43" s="216" t="s">
        <v>610</v>
      </c>
      <c r="D43" s="213" t="s">
        <v>223</v>
      </c>
      <c r="E43" s="213">
        <v>5</v>
      </c>
      <c r="F43" s="217">
        <v>0</v>
      </c>
      <c r="G43" s="225"/>
      <c r="H43" s="226">
        <f t="shared" si="0"/>
        <v>0</v>
      </c>
    </row>
    <row r="44" spans="1:8" ht="39.75" customHeight="1">
      <c r="A44" s="230">
        <v>30</v>
      </c>
      <c r="B44" s="215"/>
      <c r="C44" s="216" t="s">
        <v>611</v>
      </c>
      <c r="D44" s="213" t="s">
        <v>223</v>
      </c>
      <c r="E44" s="213">
        <v>4</v>
      </c>
      <c r="F44" s="217">
        <v>0</v>
      </c>
      <c r="G44" s="225"/>
      <c r="H44" s="226">
        <f t="shared" si="0"/>
        <v>0</v>
      </c>
    </row>
    <row r="45" spans="1:8" ht="39.75" customHeight="1">
      <c r="A45" s="230">
        <v>31</v>
      </c>
      <c r="B45" s="215"/>
      <c r="C45" s="216" t="s">
        <v>612</v>
      </c>
      <c r="D45" s="213" t="s">
        <v>223</v>
      </c>
      <c r="E45" s="213">
        <v>1</v>
      </c>
      <c r="F45" s="217">
        <v>0</v>
      </c>
      <c r="G45" s="225"/>
      <c r="H45" s="226">
        <f aca="true" t="shared" si="1" ref="H45:H76">E45*(F45+G45)</f>
        <v>0</v>
      </c>
    </row>
    <row r="46" spans="1:8" ht="39.75" customHeight="1">
      <c r="A46" s="230">
        <v>32</v>
      </c>
      <c r="B46" s="215"/>
      <c r="C46" s="216" t="s">
        <v>613</v>
      </c>
      <c r="D46" s="213" t="s">
        <v>223</v>
      </c>
      <c r="E46" s="213">
        <v>4</v>
      </c>
      <c r="F46" s="217">
        <v>0</v>
      </c>
      <c r="G46" s="225"/>
      <c r="H46" s="226">
        <f t="shared" si="1"/>
        <v>0</v>
      </c>
    </row>
    <row r="47" spans="1:8" ht="39.75" customHeight="1">
      <c r="A47" s="230">
        <v>33</v>
      </c>
      <c r="B47" s="215"/>
      <c r="C47" s="216" t="s">
        <v>614</v>
      </c>
      <c r="D47" s="213" t="s">
        <v>223</v>
      </c>
      <c r="E47" s="213">
        <v>2</v>
      </c>
      <c r="F47" s="217">
        <v>0</v>
      </c>
      <c r="G47" s="225"/>
      <c r="H47" s="226">
        <f t="shared" si="1"/>
        <v>0</v>
      </c>
    </row>
    <row r="48" spans="1:8" ht="39.75" customHeight="1">
      <c r="A48" s="230">
        <v>34</v>
      </c>
      <c r="B48" s="215"/>
      <c r="C48" s="216" t="s">
        <v>615</v>
      </c>
      <c r="D48" s="213" t="s">
        <v>223</v>
      </c>
      <c r="E48" s="213">
        <v>1</v>
      </c>
      <c r="F48" s="217">
        <v>0</v>
      </c>
      <c r="G48" s="225"/>
      <c r="H48" s="226">
        <f t="shared" si="1"/>
        <v>0</v>
      </c>
    </row>
    <row r="49" spans="1:8" ht="39.75" customHeight="1">
      <c r="A49" s="230">
        <v>35</v>
      </c>
      <c r="B49" s="215"/>
      <c r="C49" s="216" t="s">
        <v>616</v>
      </c>
      <c r="D49" s="213" t="s">
        <v>223</v>
      </c>
      <c r="E49" s="213">
        <v>1</v>
      </c>
      <c r="F49" s="217">
        <v>0</v>
      </c>
      <c r="G49" s="225"/>
      <c r="H49" s="226">
        <f t="shared" si="1"/>
        <v>0</v>
      </c>
    </row>
    <row r="50" spans="1:8" ht="39.75" customHeight="1">
      <c r="A50" s="230">
        <v>36</v>
      </c>
      <c r="B50" s="215"/>
      <c r="C50" s="216" t="s">
        <v>617</v>
      </c>
      <c r="D50" s="213" t="s">
        <v>223</v>
      </c>
      <c r="E50" s="213">
        <v>1</v>
      </c>
      <c r="F50" s="217">
        <v>0</v>
      </c>
      <c r="G50" s="225"/>
      <c r="H50" s="226">
        <f t="shared" si="1"/>
        <v>0</v>
      </c>
    </row>
    <row r="51" spans="1:8" ht="39.75" customHeight="1">
      <c r="A51" s="230">
        <v>37</v>
      </c>
      <c r="B51" s="215"/>
      <c r="C51" s="216" t="s">
        <v>618</v>
      </c>
      <c r="D51" s="213" t="s">
        <v>223</v>
      </c>
      <c r="E51" s="213">
        <v>1</v>
      </c>
      <c r="F51" s="217">
        <v>0</v>
      </c>
      <c r="G51" s="225"/>
      <c r="H51" s="226">
        <f t="shared" si="1"/>
        <v>0</v>
      </c>
    </row>
    <row r="52" spans="1:8" ht="39.75" customHeight="1">
      <c r="A52" s="230">
        <v>38</v>
      </c>
      <c r="B52" s="215"/>
      <c r="C52" s="216" t="s">
        <v>619</v>
      </c>
      <c r="D52" s="213" t="s">
        <v>223</v>
      </c>
      <c r="E52" s="213">
        <v>2</v>
      </c>
      <c r="F52" s="217">
        <v>0</v>
      </c>
      <c r="G52" s="225"/>
      <c r="H52" s="226">
        <f t="shared" si="1"/>
        <v>0</v>
      </c>
    </row>
    <row r="53" spans="1:8" ht="39.75" customHeight="1">
      <c r="A53" s="230">
        <v>39</v>
      </c>
      <c r="B53" s="215"/>
      <c r="C53" s="220" t="s">
        <v>620</v>
      </c>
      <c r="D53" s="205" t="s">
        <v>223</v>
      </c>
      <c r="E53" s="205">
        <v>1</v>
      </c>
      <c r="F53" s="217">
        <v>0</v>
      </c>
      <c r="G53" s="225"/>
      <c r="H53" s="226">
        <f t="shared" si="1"/>
        <v>0</v>
      </c>
    </row>
    <row r="54" spans="1:8" ht="39.75" customHeight="1">
      <c r="A54" s="230">
        <v>40</v>
      </c>
      <c r="B54" s="215"/>
      <c r="C54" s="216" t="s">
        <v>621</v>
      </c>
      <c r="D54" s="213" t="s">
        <v>223</v>
      </c>
      <c r="E54" s="213">
        <v>1</v>
      </c>
      <c r="F54" s="217">
        <v>0</v>
      </c>
      <c r="G54" s="225"/>
      <c r="H54" s="226">
        <f t="shared" si="1"/>
        <v>0</v>
      </c>
    </row>
    <row r="55" spans="1:8" ht="39.75" customHeight="1">
      <c r="A55" s="230">
        <v>41</v>
      </c>
      <c r="B55" s="215"/>
      <c r="C55" s="216" t="s">
        <v>622</v>
      </c>
      <c r="D55" s="213" t="s">
        <v>223</v>
      </c>
      <c r="E55" s="213">
        <v>1</v>
      </c>
      <c r="F55" s="217">
        <v>0</v>
      </c>
      <c r="G55" s="225"/>
      <c r="H55" s="226">
        <f t="shared" si="1"/>
        <v>0</v>
      </c>
    </row>
    <row r="56" spans="1:8" ht="39.75" customHeight="1">
      <c r="A56" s="230">
        <v>42</v>
      </c>
      <c r="B56" s="215"/>
      <c r="C56" s="216" t="s">
        <v>623</v>
      </c>
      <c r="D56" s="213" t="s">
        <v>223</v>
      </c>
      <c r="E56" s="213">
        <v>3</v>
      </c>
      <c r="F56" s="217">
        <v>0</v>
      </c>
      <c r="G56" s="225"/>
      <c r="H56" s="226">
        <f t="shared" si="1"/>
        <v>0</v>
      </c>
    </row>
    <row r="57" spans="1:8" ht="39.75" customHeight="1">
      <c r="A57" s="230">
        <v>43</v>
      </c>
      <c r="B57" s="215"/>
      <c r="C57" s="216" t="s">
        <v>624</v>
      </c>
      <c r="D57" s="213" t="s">
        <v>223</v>
      </c>
      <c r="E57" s="213">
        <v>4</v>
      </c>
      <c r="F57" s="217">
        <v>0</v>
      </c>
      <c r="G57" s="225"/>
      <c r="H57" s="226">
        <f t="shared" si="1"/>
        <v>0</v>
      </c>
    </row>
    <row r="58" spans="1:8" ht="39.75" customHeight="1">
      <c r="A58" s="230">
        <v>44</v>
      </c>
      <c r="B58" s="215"/>
      <c r="C58" s="216" t="s">
        <v>625</v>
      </c>
      <c r="D58" s="213" t="s">
        <v>223</v>
      </c>
      <c r="E58" s="213">
        <v>1</v>
      </c>
      <c r="F58" s="217">
        <v>0</v>
      </c>
      <c r="G58" s="225"/>
      <c r="H58" s="226">
        <f t="shared" si="1"/>
        <v>0</v>
      </c>
    </row>
    <row r="59" spans="1:8" ht="39.75" customHeight="1">
      <c r="A59" s="230">
        <v>45</v>
      </c>
      <c r="B59" s="215"/>
      <c r="C59" s="216" t="s">
        <v>626</v>
      </c>
      <c r="D59" s="213" t="s">
        <v>223</v>
      </c>
      <c r="E59" s="213">
        <v>1</v>
      </c>
      <c r="F59" s="217">
        <v>0</v>
      </c>
      <c r="G59" s="225"/>
      <c r="H59" s="226">
        <f t="shared" si="1"/>
        <v>0</v>
      </c>
    </row>
    <row r="60" spans="1:8" ht="39.75" customHeight="1">
      <c r="A60" s="230">
        <v>46</v>
      </c>
      <c r="B60" s="215"/>
      <c r="C60" s="216" t="s">
        <v>627</v>
      </c>
      <c r="D60" s="213" t="s">
        <v>223</v>
      </c>
      <c r="E60" s="213">
        <v>1</v>
      </c>
      <c r="F60" s="217">
        <v>0</v>
      </c>
      <c r="G60" s="225"/>
      <c r="H60" s="226">
        <f t="shared" si="1"/>
        <v>0</v>
      </c>
    </row>
    <row r="61" spans="1:8" ht="39.75" customHeight="1">
      <c r="A61" s="230">
        <v>47</v>
      </c>
      <c r="B61" s="215"/>
      <c r="C61" s="216" t="s">
        <v>628</v>
      </c>
      <c r="D61" s="213" t="s">
        <v>223</v>
      </c>
      <c r="E61" s="213">
        <v>1</v>
      </c>
      <c r="F61" s="217">
        <v>0</v>
      </c>
      <c r="G61" s="225"/>
      <c r="H61" s="226">
        <f t="shared" si="1"/>
        <v>0</v>
      </c>
    </row>
    <row r="62" spans="1:8" ht="39.75" customHeight="1">
      <c r="A62" s="230">
        <v>48</v>
      </c>
      <c r="B62" s="215"/>
      <c r="C62" s="216" t="s">
        <v>629</v>
      </c>
      <c r="D62" s="213" t="s">
        <v>223</v>
      </c>
      <c r="E62" s="213">
        <v>5</v>
      </c>
      <c r="F62" s="217">
        <v>0</v>
      </c>
      <c r="G62" s="225"/>
      <c r="H62" s="226">
        <f t="shared" si="1"/>
        <v>0</v>
      </c>
    </row>
    <row r="63" spans="1:8" ht="39.75" customHeight="1">
      <c r="A63" s="230">
        <v>49</v>
      </c>
      <c r="B63" s="215"/>
      <c r="C63" s="216" t="s">
        <v>630</v>
      </c>
      <c r="D63" s="213" t="s">
        <v>223</v>
      </c>
      <c r="E63" s="213">
        <v>16</v>
      </c>
      <c r="F63" s="217">
        <v>0</v>
      </c>
      <c r="G63" s="225"/>
      <c r="H63" s="226">
        <f t="shared" si="1"/>
        <v>0</v>
      </c>
    </row>
    <row r="64" spans="1:8" ht="39.75" customHeight="1">
      <c r="A64" s="230">
        <v>50</v>
      </c>
      <c r="B64" s="215"/>
      <c r="C64" s="216" t="s">
        <v>631</v>
      </c>
      <c r="D64" s="213" t="s">
        <v>223</v>
      </c>
      <c r="E64" s="213">
        <v>1</v>
      </c>
      <c r="F64" s="217">
        <v>0</v>
      </c>
      <c r="G64" s="225"/>
      <c r="H64" s="226">
        <f t="shared" si="1"/>
        <v>0</v>
      </c>
    </row>
    <row r="65" spans="1:8" ht="39.75" customHeight="1">
      <c r="A65" s="230">
        <v>51</v>
      </c>
      <c r="B65" s="215"/>
      <c r="C65" s="216" t="s">
        <v>632</v>
      </c>
      <c r="D65" s="213" t="s">
        <v>223</v>
      </c>
      <c r="E65" s="213">
        <v>3</v>
      </c>
      <c r="F65" s="217">
        <v>0</v>
      </c>
      <c r="G65" s="225"/>
      <c r="H65" s="226">
        <f t="shared" si="1"/>
        <v>0</v>
      </c>
    </row>
    <row r="66" spans="1:8" ht="39.75" customHeight="1">
      <c r="A66" s="230">
        <v>52</v>
      </c>
      <c r="B66" s="215"/>
      <c r="C66" s="216" t="s">
        <v>633</v>
      </c>
      <c r="D66" s="213" t="s">
        <v>223</v>
      </c>
      <c r="E66" s="213">
        <v>4</v>
      </c>
      <c r="F66" s="217">
        <v>0</v>
      </c>
      <c r="G66" s="225"/>
      <c r="H66" s="226">
        <f t="shared" si="1"/>
        <v>0</v>
      </c>
    </row>
    <row r="67" spans="1:8" ht="39.75" customHeight="1">
      <c r="A67" s="230">
        <v>53</v>
      </c>
      <c r="B67" s="215"/>
      <c r="C67" s="216" t="s">
        <v>634</v>
      </c>
      <c r="D67" s="213" t="s">
        <v>223</v>
      </c>
      <c r="E67" s="213">
        <v>5</v>
      </c>
      <c r="F67" s="217">
        <v>0</v>
      </c>
      <c r="G67" s="225"/>
      <c r="H67" s="226">
        <f t="shared" si="1"/>
        <v>0</v>
      </c>
    </row>
    <row r="68" spans="1:8" ht="22.5" customHeight="1">
      <c r="A68" s="230"/>
      <c r="B68" s="218"/>
      <c r="C68" s="219"/>
      <c r="D68" s="213"/>
      <c r="E68" s="213"/>
      <c r="F68" s="217"/>
      <c r="G68" s="225"/>
      <c r="H68" s="226">
        <f t="shared" si="1"/>
        <v>0</v>
      </c>
    </row>
    <row r="69" spans="1:8" ht="22.5" customHeight="1">
      <c r="A69" s="230"/>
      <c r="B69" s="215"/>
      <c r="C69" s="210" t="s">
        <v>579</v>
      </c>
      <c r="D69" s="213"/>
      <c r="E69" s="213"/>
      <c r="F69" s="217"/>
      <c r="G69" s="225"/>
      <c r="H69" s="226">
        <f t="shared" si="1"/>
        <v>0</v>
      </c>
    </row>
    <row r="70" spans="1:8" ht="39.75" customHeight="1">
      <c r="A70" s="230">
        <v>54</v>
      </c>
      <c r="B70" s="215" t="s">
        <v>635</v>
      </c>
      <c r="C70" s="216" t="s">
        <v>636</v>
      </c>
      <c r="D70" s="213" t="s">
        <v>223</v>
      </c>
      <c r="E70" s="213">
        <v>1</v>
      </c>
      <c r="F70" s="217">
        <v>0</v>
      </c>
      <c r="G70" s="225"/>
      <c r="H70" s="226">
        <f t="shared" si="1"/>
        <v>0</v>
      </c>
    </row>
    <row r="71" spans="1:8" ht="21" customHeight="1">
      <c r="A71" s="230"/>
      <c r="B71" s="215"/>
      <c r="C71" s="216"/>
      <c r="D71" s="213"/>
      <c r="E71" s="213"/>
      <c r="F71" s="217"/>
      <c r="G71" s="225"/>
      <c r="H71" s="226">
        <f t="shared" si="1"/>
        <v>0</v>
      </c>
    </row>
    <row r="72" spans="1:8" ht="21" customHeight="1">
      <c r="A72" s="230"/>
      <c r="B72" s="218"/>
      <c r="C72" s="210" t="s">
        <v>637</v>
      </c>
      <c r="D72" s="212"/>
      <c r="E72" s="213"/>
      <c r="F72" s="217"/>
      <c r="G72" s="225"/>
      <c r="H72" s="226">
        <f t="shared" si="1"/>
        <v>0</v>
      </c>
    </row>
    <row r="73" spans="1:8" ht="39.75" customHeight="1">
      <c r="A73" s="230">
        <v>55</v>
      </c>
      <c r="B73" s="215" t="s">
        <v>638</v>
      </c>
      <c r="C73" s="216" t="s">
        <v>639</v>
      </c>
      <c r="D73" s="213" t="s">
        <v>138</v>
      </c>
      <c r="E73" s="213">
        <v>18</v>
      </c>
      <c r="F73" s="217">
        <v>0</v>
      </c>
      <c r="G73" s="225">
        <v>0</v>
      </c>
      <c r="H73" s="226">
        <f t="shared" si="1"/>
        <v>0</v>
      </c>
    </row>
    <row r="74" spans="1:8" ht="39.75" customHeight="1">
      <c r="A74" s="230">
        <v>56</v>
      </c>
      <c r="B74" s="215" t="s">
        <v>640</v>
      </c>
      <c r="C74" s="216" t="s">
        <v>641</v>
      </c>
      <c r="D74" s="213" t="s">
        <v>138</v>
      </c>
      <c r="E74" s="213">
        <v>32</v>
      </c>
      <c r="F74" s="217">
        <v>0</v>
      </c>
      <c r="G74" s="225">
        <v>0</v>
      </c>
      <c r="H74" s="226">
        <f t="shared" si="1"/>
        <v>0</v>
      </c>
    </row>
    <row r="75" spans="1:8" ht="39.75" customHeight="1">
      <c r="A75" s="230">
        <v>57</v>
      </c>
      <c r="B75" s="215" t="s">
        <v>642</v>
      </c>
      <c r="C75" s="216" t="s">
        <v>643</v>
      </c>
      <c r="D75" s="213" t="s">
        <v>138</v>
      </c>
      <c r="E75" s="213">
        <v>50</v>
      </c>
      <c r="F75" s="217">
        <v>0</v>
      </c>
      <c r="G75" s="225">
        <v>0</v>
      </c>
      <c r="H75" s="226">
        <f t="shared" si="1"/>
        <v>0</v>
      </c>
    </row>
    <row r="76" spans="1:8" ht="39.75" customHeight="1">
      <c r="A76" s="230">
        <v>58</v>
      </c>
      <c r="B76" s="215" t="s">
        <v>644</v>
      </c>
      <c r="C76" s="216" t="s">
        <v>645</v>
      </c>
      <c r="D76" s="213" t="s">
        <v>223</v>
      </c>
      <c r="E76" s="213">
        <v>2</v>
      </c>
      <c r="F76" s="217">
        <v>0</v>
      </c>
      <c r="G76" s="225">
        <v>0</v>
      </c>
      <c r="H76" s="226">
        <f t="shared" si="1"/>
        <v>0</v>
      </c>
    </row>
    <row r="77" spans="1:8" ht="39.75" customHeight="1">
      <c r="A77" s="230">
        <v>59</v>
      </c>
      <c r="B77" s="215" t="s">
        <v>646</v>
      </c>
      <c r="C77" s="216" t="s">
        <v>647</v>
      </c>
      <c r="D77" s="213" t="s">
        <v>138</v>
      </c>
      <c r="E77" s="213">
        <v>6</v>
      </c>
      <c r="F77" s="217">
        <v>0</v>
      </c>
      <c r="G77" s="225">
        <v>0</v>
      </c>
      <c r="H77" s="226">
        <f aca="true" t="shared" si="2" ref="H77:H104">E77*(F77+G77)</f>
        <v>0</v>
      </c>
    </row>
    <row r="78" spans="1:8" ht="39.75" customHeight="1">
      <c r="A78" s="230">
        <v>60</v>
      </c>
      <c r="B78" s="215" t="s">
        <v>648</v>
      </c>
      <c r="C78" s="216" t="s">
        <v>649</v>
      </c>
      <c r="D78" s="213" t="s">
        <v>138</v>
      </c>
      <c r="E78" s="213">
        <v>75</v>
      </c>
      <c r="F78" s="217">
        <v>0</v>
      </c>
      <c r="G78" s="225">
        <v>0</v>
      </c>
      <c r="H78" s="226">
        <f t="shared" si="2"/>
        <v>0</v>
      </c>
    </row>
    <row r="79" spans="1:8" ht="39.75" customHeight="1">
      <c r="A79" s="230">
        <v>61</v>
      </c>
      <c r="B79" s="215" t="s">
        <v>650</v>
      </c>
      <c r="C79" s="216" t="s">
        <v>651</v>
      </c>
      <c r="D79" s="213" t="s">
        <v>138</v>
      </c>
      <c r="E79" s="213">
        <v>100</v>
      </c>
      <c r="F79" s="217">
        <v>0</v>
      </c>
      <c r="G79" s="225">
        <v>0</v>
      </c>
      <c r="H79" s="226">
        <f t="shared" si="2"/>
        <v>0</v>
      </c>
    </row>
    <row r="80" spans="1:8" ht="39.75" customHeight="1">
      <c r="A80" s="230">
        <v>62</v>
      </c>
      <c r="B80" s="215" t="s">
        <v>652</v>
      </c>
      <c r="C80" s="216" t="s">
        <v>651</v>
      </c>
      <c r="D80" s="213" t="s">
        <v>138</v>
      </c>
      <c r="E80" s="213">
        <v>55</v>
      </c>
      <c r="F80" s="217">
        <v>0</v>
      </c>
      <c r="G80" s="225">
        <v>0</v>
      </c>
      <c r="H80" s="226">
        <f t="shared" si="2"/>
        <v>0</v>
      </c>
    </row>
    <row r="81" spans="1:8" ht="39.75" customHeight="1">
      <c r="A81" s="230">
        <v>63</v>
      </c>
      <c r="B81" s="215" t="s">
        <v>653</v>
      </c>
      <c r="C81" s="216" t="s">
        <v>651</v>
      </c>
      <c r="D81" s="213" t="s">
        <v>138</v>
      </c>
      <c r="E81" s="213">
        <v>50</v>
      </c>
      <c r="F81" s="217">
        <v>0</v>
      </c>
      <c r="G81" s="225">
        <v>0</v>
      </c>
      <c r="H81" s="226">
        <f t="shared" si="2"/>
        <v>0</v>
      </c>
    </row>
    <row r="82" spans="1:8" ht="39.75" customHeight="1">
      <c r="A82" s="230">
        <v>64</v>
      </c>
      <c r="B82" s="215" t="s">
        <v>654</v>
      </c>
      <c r="C82" s="216" t="s">
        <v>655</v>
      </c>
      <c r="D82" s="213" t="s">
        <v>138</v>
      </c>
      <c r="E82" s="213">
        <v>15</v>
      </c>
      <c r="F82" s="217">
        <v>0</v>
      </c>
      <c r="G82" s="225">
        <v>0</v>
      </c>
      <c r="H82" s="226">
        <f t="shared" si="2"/>
        <v>0</v>
      </c>
    </row>
    <row r="83" spans="1:8" ht="39.75" customHeight="1">
      <c r="A83" s="230">
        <v>65</v>
      </c>
      <c r="B83" s="215" t="s">
        <v>656</v>
      </c>
      <c r="C83" s="216" t="s">
        <v>651</v>
      </c>
      <c r="D83" s="213" t="s">
        <v>138</v>
      </c>
      <c r="E83" s="213">
        <v>60</v>
      </c>
      <c r="F83" s="217">
        <v>0</v>
      </c>
      <c r="G83" s="225">
        <v>0</v>
      </c>
      <c r="H83" s="226">
        <f t="shared" si="2"/>
        <v>0</v>
      </c>
    </row>
    <row r="84" spans="1:8" ht="39.75" customHeight="1">
      <c r="A84" s="230">
        <v>66</v>
      </c>
      <c r="B84" s="215" t="s">
        <v>657</v>
      </c>
      <c r="C84" s="216" t="s">
        <v>651</v>
      </c>
      <c r="D84" s="213" t="s">
        <v>138</v>
      </c>
      <c r="E84" s="213">
        <v>50</v>
      </c>
      <c r="F84" s="217">
        <v>0</v>
      </c>
      <c r="G84" s="225">
        <v>0</v>
      </c>
      <c r="H84" s="226">
        <f t="shared" si="2"/>
        <v>0</v>
      </c>
    </row>
    <row r="85" spans="1:8" ht="39.75" customHeight="1">
      <c r="A85" s="230">
        <v>67</v>
      </c>
      <c r="B85" s="215" t="s">
        <v>658</v>
      </c>
      <c r="C85" s="216" t="s">
        <v>651</v>
      </c>
      <c r="D85" s="213" t="s">
        <v>138</v>
      </c>
      <c r="E85" s="213">
        <v>50</v>
      </c>
      <c r="F85" s="217">
        <v>0</v>
      </c>
      <c r="G85" s="225">
        <v>0</v>
      </c>
      <c r="H85" s="226">
        <f t="shared" si="2"/>
        <v>0</v>
      </c>
    </row>
    <row r="86" spans="1:8" ht="39.75" customHeight="1">
      <c r="A86" s="230">
        <v>68</v>
      </c>
      <c r="B86" s="215" t="s">
        <v>659</v>
      </c>
      <c r="C86" s="216" t="s">
        <v>651</v>
      </c>
      <c r="D86" s="213" t="s">
        <v>138</v>
      </c>
      <c r="E86" s="213">
        <v>25</v>
      </c>
      <c r="F86" s="217">
        <v>0</v>
      </c>
      <c r="G86" s="225">
        <v>0</v>
      </c>
      <c r="H86" s="226">
        <f t="shared" si="2"/>
        <v>0</v>
      </c>
    </row>
    <row r="87" spans="1:8" ht="39.75" customHeight="1">
      <c r="A87" s="230">
        <v>69</v>
      </c>
      <c r="B87" s="215" t="s">
        <v>660</v>
      </c>
      <c r="C87" s="216" t="s">
        <v>651</v>
      </c>
      <c r="D87" s="213" t="s">
        <v>138</v>
      </c>
      <c r="E87" s="213">
        <v>50</v>
      </c>
      <c r="F87" s="217">
        <v>0</v>
      </c>
      <c r="G87" s="225">
        <v>0</v>
      </c>
      <c r="H87" s="226">
        <f t="shared" si="2"/>
        <v>0</v>
      </c>
    </row>
    <row r="88" spans="1:8" ht="39.75" customHeight="1">
      <c r="A88" s="230">
        <v>70</v>
      </c>
      <c r="B88" s="215" t="s">
        <v>661</v>
      </c>
      <c r="C88" s="216" t="s">
        <v>651</v>
      </c>
      <c r="D88" s="213" t="s">
        <v>138</v>
      </c>
      <c r="E88" s="213">
        <v>300</v>
      </c>
      <c r="F88" s="217">
        <v>0</v>
      </c>
      <c r="G88" s="225">
        <v>0</v>
      </c>
      <c r="H88" s="226">
        <f t="shared" si="2"/>
        <v>0</v>
      </c>
    </row>
    <row r="89" spans="1:8" ht="39.75" customHeight="1">
      <c r="A89" s="230">
        <v>71</v>
      </c>
      <c r="B89" s="215" t="s">
        <v>662</v>
      </c>
      <c r="C89" s="216" t="s">
        <v>651</v>
      </c>
      <c r="D89" s="213" t="s">
        <v>138</v>
      </c>
      <c r="E89" s="213">
        <v>100</v>
      </c>
      <c r="F89" s="217">
        <v>0</v>
      </c>
      <c r="G89" s="225">
        <v>0</v>
      </c>
      <c r="H89" s="226">
        <f t="shared" si="2"/>
        <v>0</v>
      </c>
    </row>
    <row r="90" spans="1:8" ht="39.75" customHeight="1">
      <c r="A90" s="230">
        <v>72</v>
      </c>
      <c r="B90" s="215" t="s">
        <v>663</v>
      </c>
      <c r="C90" s="216" t="s">
        <v>651</v>
      </c>
      <c r="D90" s="213" t="s">
        <v>138</v>
      </c>
      <c r="E90" s="213">
        <v>20</v>
      </c>
      <c r="F90" s="217">
        <v>0</v>
      </c>
      <c r="G90" s="225">
        <v>0</v>
      </c>
      <c r="H90" s="226">
        <f t="shared" si="2"/>
        <v>0</v>
      </c>
    </row>
    <row r="91" spans="1:8" ht="21.75" customHeight="1">
      <c r="A91" s="230"/>
      <c r="B91" s="218"/>
      <c r="C91" s="219"/>
      <c r="D91" s="213"/>
      <c r="E91" s="206"/>
      <c r="F91" s="217"/>
      <c r="G91" s="225"/>
      <c r="H91" s="226">
        <f t="shared" si="2"/>
        <v>0</v>
      </c>
    </row>
    <row r="92" spans="1:8" ht="21.75" customHeight="1">
      <c r="A92" s="230"/>
      <c r="B92" s="218"/>
      <c r="C92" s="210" t="s">
        <v>664</v>
      </c>
      <c r="D92" s="212"/>
      <c r="E92" s="206"/>
      <c r="F92" s="217"/>
      <c r="G92" s="225"/>
      <c r="H92" s="226">
        <f t="shared" si="2"/>
        <v>0</v>
      </c>
    </row>
    <row r="93" spans="1:8" ht="39.75" customHeight="1">
      <c r="A93" s="230">
        <v>73</v>
      </c>
      <c r="B93" s="215"/>
      <c r="C93" s="216" t="s">
        <v>665</v>
      </c>
      <c r="D93" s="213" t="s">
        <v>223</v>
      </c>
      <c r="E93" s="213">
        <v>1</v>
      </c>
      <c r="F93" s="217">
        <v>0</v>
      </c>
      <c r="G93" s="225"/>
      <c r="H93" s="226">
        <f t="shared" si="2"/>
        <v>0</v>
      </c>
    </row>
    <row r="94" spans="1:8" ht="39.75" customHeight="1">
      <c r="A94" s="230">
        <v>74</v>
      </c>
      <c r="B94" s="215"/>
      <c r="C94" s="216" t="s">
        <v>666</v>
      </c>
      <c r="D94" s="213" t="s">
        <v>223</v>
      </c>
      <c r="E94" s="213">
        <v>1</v>
      </c>
      <c r="F94" s="217">
        <v>0</v>
      </c>
      <c r="G94" s="225"/>
      <c r="H94" s="226">
        <f t="shared" si="2"/>
        <v>0</v>
      </c>
    </row>
    <row r="95" spans="1:8" ht="39.75" customHeight="1">
      <c r="A95" s="230">
        <v>75</v>
      </c>
      <c r="B95" s="215"/>
      <c r="C95" s="216" t="s">
        <v>667</v>
      </c>
      <c r="D95" s="213" t="s">
        <v>223</v>
      </c>
      <c r="E95" s="213">
        <v>1</v>
      </c>
      <c r="F95" s="217"/>
      <c r="G95" s="225">
        <v>0</v>
      </c>
      <c r="H95" s="226">
        <f t="shared" si="2"/>
        <v>0</v>
      </c>
    </row>
    <row r="96" spans="1:8" ht="39.75" customHeight="1">
      <c r="A96" s="230">
        <v>76</v>
      </c>
      <c r="B96" s="215"/>
      <c r="C96" s="216" t="s">
        <v>668</v>
      </c>
      <c r="D96" s="213" t="s">
        <v>223</v>
      </c>
      <c r="E96" s="213">
        <v>1</v>
      </c>
      <c r="F96" s="217"/>
      <c r="G96" s="225">
        <v>0</v>
      </c>
      <c r="H96" s="226">
        <f t="shared" si="2"/>
        <v>0</v>
      </c>
    </row>
    <row r="97" spans="1:8" ht="39.75" customHeight="1">
      <c r="A97" s="230">
        <v>77</v>
      </c>
      <c r="B97" s="215"/>
      <c r="C97" s="216" t="s">
        <v>669</v>
      </c>
      <c r="D97" s="213" t="s">
        <v>223</v>
      </c>
      <c r="E97" s="213">
        <v>40</v>
      </c>
      <c r="F97" s="217"/>
      <c r="G97" s="225">
        <v>0</v>
      </c>
      <c r="H97" s="226">
        <f t="shared" si="2"/>
        <v>0</v>
      </c>
    </row>
    <row r="98" spans="1:8" ht="39.75" customHeight="1">
      <c r="A98" s="230">
        <v>78</v>
      </c>
      <c r="B98" s="215"/>
      <c r="C98" s="216" t="s">
        <v>670</v>
      </c>
      <c r="D98" s="213" t="s">
        <v>223</v>
      </c>
      <c r="E98" s="213">
        <v>72</v>
      </c>
      <c r="F98" s="217"/>
      <c r="G98" s="225">
        <v>0</v>
      </c>
      <c r="H98" s="226">
        <f t="shared" si="2"/>
        <v>0</v>
      </c>
    </row>
    <row r="99" spans="1:8" ht="39.75" customHeight="1">
      <c r="A99" s="230">
        <v>79</v>
      </c>
      <c r="B99" s="215"/>
      <c r="C99" s="216" t="s">
        <v>671</v>
      </c>
      <c r="D99" s="213" t="s">
        <v>223</v>
      </c>
      <c r="E99" s="213">
        <v>25</v>
      </c>
      <c r="F99" s="217"/>
      <c r="G99" s="225">
        <v>0</v>
      </c>
      <c r="H99" s="226">
        <f t="shared" si="2"/>
        <v>0</v>
      </c>
    </row>
    <row r="100" spans="1:8" ht="39.75" customHeight="1">
      <c r="A100" s="230">
        <v>80</v>
      </c>
      <c r="B100" s="215"/>
      <c r="C100" s="216" t="s">
        <v>672</v>
      </c>
      <c r="D100" s="213" t="s">
        <v>223</v>
      </c>
      <c r="E100" s="213">
        <f>SUM(E98:E99)</f>
        <v>97</v>
      </c>
      <c r="F100" s="217"/>
      <c r="G100" s="225">
        <v>0</v>
      </c>
      <c r="H100" s="226">
        <f t="shared" si="2"/>
        <v>0</v>
      </c>
    </row>
    <row r="101" spans="1:8" ht="39.75" customHeight="1">
      <c r="A101" s="230">
        <v>81</v>
      </c>
      <c r="B101" s="215"/>
      <c r="C101" s="216" t="s">
        <v>673</v>
      </c>
      <c r="D101" s="213" t="s">
        <v>223</v>
      </c>
      <c r="E101" s="213">
        <v>97</v>
      </c>
      <c r="F101" s="217"/>
      <c r="G101" s="225">
        <v>0</v>
      </c>
      <c r="H101" s="226">
        <f t="shared" si="2"/>
        <v>0</v>
      </c>
    </row>
    <row r="102" spans="1:8" ht="39.75" customHeight="1">
      <c r="A102" s="230">
        <v>82</v>
      </c>
      <c r="B102" s="215"/>
      <c r="C102" s="216" t="s">
        <v>674</v>
      </c>
      <c r="D102" s="213" t="s">
        <v>223</v>
      </c>
      <c r="E102" s="213">
        <v>1</v>
      </c>
      <c r="F102" s="217">
        <v>0</v>
      </c>
      <c r="G102" s="225"/>
      <c r="H102" s="226">
        <f t="shared" si="2"/>
        <v>0</v>
      </c>
    </row>
    <row r="103" spans="1:8" ht="39.75" customHeight="1">
      <c r="A103" s="230">
        <v>83</v>
      </c>
      <c r="B103" s="215"/>
      <c r="C103" s="216" t="s">
        <v>675</v>
      </c>
      <c r="D103" s="213" t="s">
        <v>137</v>
      </c>
      <c r="E103" s="213">
        <v>1</v>
      </c>
      <c r="F103" s="217">
        <v>0</v>
      </c>
      <c r="G103" s="225"/>
      <c r="H103" s="226">
        <f t="shared" si="2"/>
        <v>0</v>
      </c>
    </row>
    <row r="104" spans="1:8" ht="39.75" customHeight="1">
      <c r="A104" s="230">
        <v>84</v>
      </c>
      <c r="B104" s="215"/>
      <c r="C104" s="216" t="s">
        <v>676</v>
      </c>
      <c r="D104" s="213" t="s">
        <v>137</v>
      </c>
      <c r="E104" s="213">
        <v>1</v>
      </c>
      <c r="F104" s="217">
        <v>0</v>
      </c>
      <c r="G104" s="225"/>
      <c r="H104" s="226">
        <f t="shared" si="2"/>
        <v>0</v>
      </c>
    </row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Mézl Oldřich</dc:creator>
  <cp:keywords/>
  <dc:description/>
  <cp:lastModifiedBy>Mézl Oldřich</cp:lastModifiedBy>
  <dcterms:created xsi:type="dcterms:W3CDTF">2021-03-23T09:17:54Z</dcterms:created>
  <dcterms:modified xsi:type="dcterms:W3CDTF">2021-03-26T14:06:31Z</dcterms:modified>
  <cp:category/>
  <cp:version/>
  <cp:contentType/>
  <cp:contentStatus/>
</cp:coreProperties>
</file>