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9001"/>
  <workbookPr defaultThemeVersion="124226"/>
  <bookViews>
    <workbookView xWindow="0" yWindow="0" windowWidth="19200" windowHeight="6940" tabRatio="933" activeTab="2"/>
  </bookViews>
  <sheets>
    <sheet name="Kompletní List" sheetId="29" r:id="rId1"/>
    <sheet name=" Rekapitulace" sheetId="30" r:id="rId2"/>
    <sheet name="Položky" sheetId="32" r:id="rId3"/>
  </sheets>
  <definedNames>
    <definedName name="Dodavka">#REF!</definedName>
    <definedName name="HSV">#REF!</definedName>
    <definedName name="Mont">#REF!</definedName>
    <definedName name="MONT.713">' Rekapitulace'!$G$8</definedName>
    <definedName name="MONT.731">' Rekapitulace'!$G$9</definedName>
    <definedName name="mont.732">' Rekapitulace'!$G$10</definedName>
    <definedName name="mont.733">' Rekapitulace'!$G$11</definedName>
    <definedName name="mont.734">' Rekapitulace'!$G$12</definedName>
    <definedName name="mont.767">' Rekapitulace'!$G$13</definedName>
    <definedName name="_xlnm.Print_Area" localSheetId="1">' Rekapitulace'!$A$1:$H$23</definedName>
    <definedName name="_xlnm.Print_Area" localSheetId="0">'Kompletní List'!$A$1:$G$45</definedName>
    <definedName name="_xlnm.Print_Area" localSheetId="2">'Položky'!$A$1:$J$323</definedName>
    <definedName name="PSV">#REF!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_xlnm.Print_Titles" localSheetId="1">' Rekapitulace'!$1:$4</definedName>
    <definedName name="_xlnm.Print_Titles" localSheetId="2">'Položky'!$1:$6</definedName>
  </definedNames>
  <calcPr calcId="171027"/>
</workbook>
</file>

<file path=xl/sharedStrings.xml><?xml version="1.0" encoding="utf-8"?>
<sst xmlns="http://schemas.openxmlformats.org/spreadsheetml/2006/main" count="1221" uniqueCount="616">
  <si>
    <t xml:space="preserve"> </t>
  </si>
  <si>
    <t>Stavba :</t>
  </si>
  <si>
    <t>Základ pro DPH</t>
  </si>
  <si>
    <t>%</t>
  </si>
  <si>
    <t>HSV</t>
  </si>
  <si>
    <t>PSV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</si>
  <si>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</si>
  <si>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</si>
  <si>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</si>
  <si>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</si>
  <si>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</si>
  <si>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</si>
  <si>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</si>
  <si>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</si>
  <si>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</si>
  <si>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</si>
  <si>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</si>
  <si>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</si>
  <si>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</si>
  <si>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</si>
  <si>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</si>
  <si>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</si>
  <si>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</si>
  <si>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</si>
  <si>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</si>
  <si>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</si>
  <si>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</si>
  <si>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</si>
  <si>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</si>
  <si>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</si>
  <si>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</si>
  <si>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</si>
  <si>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</si>
  <si>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</si>
  <si>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</si>
  <si>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</si>
  <si>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</si>
  <si>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</si>
  <si>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</si>
  <si>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</si>
  <si>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</si>
  <si>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</si>
  <si>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</si>
  <si>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</si>
  <si>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</si>
  <si>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</si>
  <si>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</si>
  <si>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</si>
  <si>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</si>
  <si>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</si>
  <si>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</si>
  <si>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</si>
  <si>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</si>
  <si>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</si>
  <si>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</si>
  <si>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</si>
  <si>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</si>
  <si>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</si>
  <si>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CELKEM VRN</t>
  </si>
  <si>
    <t>P.č.</t>
  </si>
  <si>
    <t>Číslo položky</t>
  </si>
  <si>
    <t>Název položky</t>
  </si>
  <si>
    <t>MJ</t>
  </si>
  <si>
    <t>množství</t>
  </si>
  <si>
    <t>celkem (Kč)</t>
  </si>
  <si>
    <t>Díl:</t>
  </si>
  <si>
    <t>ks</t>
  </si>
  <si>
    <t>Celkem za</t>
  </si>
  <si>
    <t>Mimostaveništní doprava</t>
  </si>
  <si>
    <t>Zařízení staveniště</t>
  </si>
  <si>
    <t>kus</t>
  </si>
  <si>
    <t>m2</t>
  </si>
  <si>
    <t>kg</t>
  </si>
  <si>
    <t>713</t>
  </si>
  <si>
    <t>Izolace tepelné</t>
  </si>
  <si>
    <t>713 Izolace tepelné</t>
  </si>
  <si>
    <t>m</t>
  </si>
  <si>
    <t>767</t>
  </si>
  <si>
    <t>Konstrukce zámečnické</t>
  </si>
  <si>
    <t>767 Konstrukce zámečnické</t>
  </si>
  <si>
    <t xml:space="preserve">Přesun hmot pro zámečnické konstr., výšky do 12 m </t>
  </si>
  <si>
    <t>soubor</t>
  </si>
  <si>
    <t>900</t>
  </si>
  <si>
    <t>Ostatní položky</t>
  </si>
  <si>
    <t>bm</t>
  </si>
  <si>
    <t>998713201</t>
  </si>
  <si>
    <t>911      T00</t>
  </si>
  <si>
    <t>hod</t>
  </si>
  <si>
    <t>731</t>
  </si>
  <si>
    <t>732</t>
  </si>
  <si>
    <t>Strojovny</t>
  </si>
  <si>
    <t>998732202</t>
  </si>
  <si>
    <t xml:space="preserve">Přesun hmot pro strojovny, výšky do 12 m </t>
  </si>
  <si>
    <t>732 Strojovny</t>
  </si>
  <si>
    <t>733</t>
  </si>
  <si>
    <t>Rozvod potrubí</t>
  </si>
  <si>
    <t>733 Rozvod potrubí</t>
  </si>
  <si>
    <t>734</t>
  </si>
  <si>
    <t>Armatury</t>
  </si>
  <si>
    <t>Kohout kulový, vnitř.-vnitř.z. DN 15</t>
  </si>
  <si>
    <t>Klapka mezipřírubová KL DN 100 vč. 2 ks protipřírub</t>
  </si>
  <si>
    <t xml:space="preserve">Teploměr dvoukovový, pevný stonek 100 mm </t>
  </si>
  <si>
    <t xml:space="preserve">Montáž tlakoměru deformačního 0-10 MPa </t>
  </si>
  <si>
    <t>Automatické odvzdušňovací ventil do DN15 vč.kohoutu kul.do DN15</t>
  </si>
  <si>
    <t>998734203</t>
  </si>
  <si>
    <t xml:space="preserve">Přesun hmot pro armatury, výšky do 24 m </t>
  </si>
  <si>
    <t>Nátrubek varný G 3/8"</t>
  </si>
  <si>
    <t>Tlakoměr + smyčka + kohout</t>
  </si>
  <si>
    <t>Teploměr + jímka</t>
  </si>
  <si>
    <t>Zhotovení napojení na páteřní rozvod</t>
  </si>
  <si>
    <t>734 Armatury</t>
  </si>
  <si>
    <t>Montáž atypických konstrukcí hmotnosti do 10 kg Materiál, určený k uložení/zavěšení potrubních tras (mimo objímek, třmenů apod.) - nosné konzoly apod.</t>
  </si>
  <si>
    <t>998767202</t>
  </si>
  <si>
    <t>783</t>
  </si>
  <si>
    <t>Nátěry</t>
  </si>
  <si>
    <t xml:space="preserve">Nátěr syntetický OK "C" nebo "CC" 2x + 1x email </t>
  </si>
  <si>
    <t xml:space="preserve">Nátěr syntet. potrubí do DN 150 mm Z +2x +1x email </t>
  </si>
  <si>
    <t>783 Nátěry</t>
  </si>
  <si>
    <t>dní</t>
  </si>
  <si>
    <t>Vodivé pospojování</t>
  </si>
  <si>
    <t>Napuštění a odvzdušnění systému</t>
  </si>
  <si>
    <t>Zkouška těsnosti po jednotlivých úsecích včetně výstupních protokolů jednotlivých odzkoušených úseků - v návaznosti na harmonogram stavby</t>
  </si>
  <si>
    <t>900 Ostatní položky</t>
  </si>
  <si>
    <t>Parotěsná páska lepící tl. min. 3mm</t>
  </si>
  <si>
    <t>Potrubí hladké bezešvé nízkotlaké D 28 (DN 20) včetně tvarovek a přechodů</t>
  </si>
  <si>
    <t>Potrubí hladké bezešvé nízkotlaké D 31,8 (DN 25) včetně tvarovek a přechodů</t>
  </si>
  <si>
    <t>Potrubí hladké bezešvé nízkotlaké D 38 (DN 32)včetně tvarovek a přechodů</t>
  </si>
  <si>
    <t>Potrubí hladké bezešvé nízkotlaké D 76 (DN 65) včetně tvarovek a přechodů</t>
  </si>
  <si>
    <t>Potrubí hladké bezešvé nízkotlaké D 89 (DN 80) včetně tvarovek a přechodů</t>
  </si>
  <si>
    <t>Potrubí hladké bezešvé nízkotlaké D 108 (DN 100) včetně tvarovek a přechodů</t>
  </si>
  <si>
    <t>Potrubí hladké bezešvé nízkotlaké D 133 (DN 125) včetně tvarovek a přechodů</t>
  </si>
  <si>
    <t>998733203</t>
  </si>
  <si>
    <t xml:space="preserve">Montáž atypických konstrukcí hmotnosti do 5 kg Drobný materiál, určený ke kotvení potrubí (dělené objímky, závitové tyče, hmoždiny, vruty...) </t>
  </si>
  <si>
    <t>Výchozí revize elektro pro hlavní zařízení CHL</t>
  </si>
  <si>
    <t>zkouška provozní obsahující zkoušku dilatační a chladící  včetně výstupních protokolů</t>
  </si>
  <si>
    <t>FourClima s.r.o.</t>
  </si>
  <si>
    <t>Zdroj chladu</t>
  </si>
  <si>
    <t>731 Zdroj chladu</t>
  </si>
  <si>
    <t>Pozice dle schema</t>
  </si>
  <si>
    <t>ČÁST CHLAZENÍ</t>
  </si>
  <si>
    <t>Chlazení</t>
  </si>
  <si>
    <t xml:space="preserve">Ostatní položky </t>
  </si>
  <si>
    <t>Automatický odvzdušňovací ventil umístěny v komoře výměníku do DN12, uzavírací ventil motýlkový do DN12</t>
  </si>
  <si>
    <t>Kohout kulový, vnitř.-vnitř.z. DN 15 včetně protišroubení</t>
  </si>
  <si>
    <t xml:space="preserve">Ohebné nerezové potrubí AISI 316 L DN 15 včetně ukončovacího šroubení, protišroubení, těsnění, l=0,5m </t>
  </si>
  <si>
    <t xml:space="preserve">Tlakoměr </t>
  </si>
  <si>
    <t>Měření hluku</t>
  </si>
  <si>
    <t>Montáž diferečního tlakoměru - dodávka v části MaR</t>
  </si>
  <si>
    <t>Potrubí hladké bezešvé nízkotlaké D 57 (DN 50)včetně tvarovek a přechodů</t>
  </si>
  <si>
    <t>Potrubí hladké bezešvé nízkotlaké D 44 (DN 40)včetně tvarovek a přechodů</t>
  </si>
  <si>
    <t>Vrty do D100</t>
  </si>
  <si>
    <t>upevňovací prvek pro potrubí chlazení - 57</t>
  </si>
  <si>
    <t>upevňovací prvek pro potrubí chlazení - 76</t>
  </si>
  <si>
    <t>upevňovací prvek pro potrubí chlazení - 133</t>
  </si>
  <si>
    <t>upevňovací prvek pro potrubí chlazení - do 35</t>
  </si>
  <si>
    <t xml:space="preserve">Rozpočet: </t>
  </si>
  <si>
    <t>Dodavatel musí zpracovat realizační dokumentaci stavby - dodavatelskou dokumentaci stavby, a musí ji předložit stavebníkovi a autorskému dozoru před realizací ke kontrole.</t>
  </si>
  <si>
    <t>Součástí dodávky je kompletní uvedení do provozu a zaregulování zařízení a jeho armatur, nastavení provozních parametrů jako i všech rozvodných a regulačních zařízení, až do přejímky a garance.  V případě, že ten, kdo s dokumentací pracuje, shledá disproporci mezi částmi dokumentace (výkresová část, technická zpráva a výkaz výměr), je nutno vzít v úvahu takovou variantu, za kterou dodavatel vzhledem ke své odbornosti převezme plné garance. Dtto, když dodavatel zjistí určité řešení, za které nemůže vzít garance ve vztahu k požadovanému výsledku, v tomto případě je povinen v ceně počítat s nápravou řešení a investora upozornit. Před zahájením dodávek a montáží je nutno provést kontrolu, zda stav na stavbě odpovídá projektové dokumentaci. Bez provedení kontroly není možno držet záruky za škody vzniklé vynecháním kontroly</t>
  </si>
  <si>
    <t>V cenách musí být zahrnuty náklady na odvoz, skládkovné, přesuny materiálu, protiprašná opatření, trvalý úklid všech prostor dotčených stavbou, opatření BOZP. Ceny v nabídce musí vycházet nejen z předloženého soupisu výkonů, ale i ze znalosti celého projektu. Prostudování kompletní dokumentace je nutnou podmínkou předložení nabídky. Předpokádá se kompletní uvedení do provozu a zaregulování zařízení a jeho armatur, nastavení provozních parametrů jako i všech rozvodných a regulačních zařízení, až do přejímky a garance. A to včetně sladění se skutečnými provozními vztahy jako je zaučení provozního personálu a předání zařízení uživateli.
Dodavatel musí zpracovat realizační dokumentaci stavby - dodavatelskou dokumentaci stavby, a musí ji předložit stavebníkovi a autorskému dozoru před realizací ke kontrole.</t>
  </si>
  <si>
    <t xml:space="preserve">Vyregulování ventilu </t>
  </si>
  <si>
    <t>přechod na nátrubek výměníku VZT</t>
  </si>
  <si>
    <t>Vypouštěcí kohout DN15</t>
  </si>
  <si>
    <t>Kohouty plnicí a vypouštěcí DN 15</t>
  </si>
  <si>
    <t>Klapka mezipřírubová KL DN 80 vč. 2 ks protipřírub</t>
  </si>
  <si>
    <t>Prostup s chráničkou pro DN 40 včetně požárního zatěsnění</t>
  </si>
  <si>
    <t>Prostup s chráničkou pro DN 50 včetně požárního zatěsnění</t>
  </si>
  <si>
    <t>Prostup s chráničkou pro DN 65 včetně požárního zatěsnění</t>
  </si>
  <si>
    <t>Prostup s chráničkou pro DN 80 včetně požárního zatěsnění</t>
  </si>
  <si>
    <t>Prostup s chráničkou pro DN 125 včetně požárního zatěsnění</t>
  </si>
  <si>
    <t>Vrty do D150</t>
  </si>
  <si>
    <t>Kohouty plnicí a vypouštěcí DN 25</t>
  </si>
  <si>
    <t>Armatury - všechny armatury budou min. PN 16</t>
  </si>
  <si>
    <t>V jednotlivých cenách musí být zahrnuty náklady na vlastní montáž, odvoz, skládkovné, veškeré přesuny materiálu, protiprašná opatření, trvalý úklid všech prostor dotčených stavbou, opatření BOZP a to zejména zabezpečení všech stavebních prostupů proti propadnutí. Cenová nabídka je včetně dodržování odpadového hospodářství.</t>
  </si>
  <si>
    <t>Ceny v nabídce musí vycházet nejen z předloženého soupisu výkonů, ale i ze znalosti celého prováděcího projektu. Prostudování kompletní dokumentace je nutnou podmínkou předložení nabídky. S ohledem na propojení objektu jedním potrubní systémem je dokumentace platná jako celek, ikdyž je členěna na dva pavilony.</t>
  </si>
  <si>
    <t>Popisy regulačních uzlů, popisy zařízení, schema a půdorys zdroje chladu, štítkování nastavení regulačních ventilů, štítkování pozic čerpadel, štíťky na potrubí - vše zalaminováno, požární ucpávky</t>
  </si>
  <si>
    <t>Čištění filtrů - 2x, včetně proplachu soustavy -2x</t>
  </si>
  <si>
    <t>upevňovací prvek pro potrubí chlazení - 108</t>
  </si>
  <si>
    <t>Hzs - zednické výpomoci vrty, prostupy, drážky, přípomoci během trasnportu potrubí, koordinace vůči ostatním profesím, koordinace při etapizaci prací</t>
  </si>
  <si>
    <t>Akce</t>
  </si>
  <si>
    <t>Akce :</t>
  </si>
  <si>
    <t>CHLAZENÍ</t>
  </si>
  <si>
    <t>Kompletní montáž strojovny</t>
  </si>
  <si>
    <t>Kompletní montáž rozvodů potrubí</t>
  </si>
  <si>
    <t>Kompletní montáž armatur</t>
  </si>
  <si>
    <t>Upřesnění výrobků</t>
  </si>
  <si>
    <t>Výrobce</t>
  </si>
  <si>
    <t>Typ</t>
  </si>
  <si>
    <t>Uzavírací motýlkový ventil DN15 pro odvzdunšnění</t>
  </si>
  <si>
    <t>Elektromotorický servopohon 0-10V, 24V.</t>
  </si>
  <si>
    <t>Diferenční snímač</t>
  </si>
  <si>
    <t>osový kompenzátor do potrubí DN80, vč.2ks protipřírub</t>
  </si>
  <si>
    <t>Výchozí revize pro expanzní automatický systém</t>
  </si>
  <si>
    <t>Výchozí revize úpravny vody</t>
  </si>
  <si>
    <t>Výchozí revize tlakových nádob</t>
  </si>
  <si>
    <t>l</t>
  </si>
  <si>
    <t>Redukce varná DN 32/25</t>
  </si>
  <si>
    <t>Kulový kohout DN 32/16</t>
  </si>
  <si>
    <t>Filtr DN 32 včetně protišroubení 2ks</t>
  </si>
  <si>
    <t>Pružný kompenzátor DN 32 pro napojení výměníku VZT jednotky, včetně montážního příslušenství (přírub, těsnění apod).</t>
  </si>
  <si>
    <t>Kohout kulový, vnitř.-vnitř.z. DN 25</t>
  </si>
  <si>
    <t>Tlaková zkouška potrubí  ocelového do DN 50 (včetně)</t>
  </si>
  <si>
    <t>Tlak. zkouška ocelového hladkého potrubí do DN 150</t>
  </si>
  <si>
    <t>Nátěr syntet. potrubí do DN 50 mm  Z+2x +1x email (včetně)</t>
  </si>
  <si>
    <t>Montáž orientačního štítku včetně dodávky štítku</t>
  </si>
  <si>
    <t>Reflex</t>
  </si>
  <si>
    <t>Roznášecí plech tl.10mm, 450x450mm</t>
  </si>
  <si>
    <t>8.001</t>
  </si>
  <si>
    <t>8.002</t>
  </si>
  <si>
    <t>9.001</t>
  </si>
  <si>
    <t>AKU+Epynz.</t>
  </si>
  <si>
    <t>Klapka mezipřírubová KL DN 125 vč. 2 ks protipřírub</t>
  </si>
  <si>
    <t>osový kompenzátor do potrubí DN125, vč.2ks protipřírub</t>
  </si>
  <si>
    <t>ESBE</t>
  </si>
  <si>
    <t>8.004</t>
  </si>
  <si>
    <t>8.005</t>
  </si>
  <si>
    <t>Pohon vypuštěcího ventilu</t>
  </si>
  <si>
    <t>Pojistný ventil na studené vodě</t>
  </si>
  <si>
    <t>Servisní armatura MK 3/4"</t>
  </si>
  <si>
    <t>MK 3/4"</t>
  </si>
  <si>
    <t>osový kompenzátor do potrubí DN100, vč.2ks protipřírub</t>
  </si>
  <si>
    <t>standard úsek</t>
  </si>
  <si>
    <t>Tepelná izolace rozdělovače, parotěsné izolační pouzdro tl. 32 mm.</t>
  </si>
  <si>
    <t>78312210R00</t>
  </si>
  <si>
    <t>783424340R00</t>
  </si>
  <si>
    <t>783426260R00</t>
  </si>
  <si>
    <t>Izolační desky parotěsná (µ=min 7000)  tl.32 mm pro izolování čerpadel</t>
  </si>
  <si>
    <t>Izolační desky parotěsná (µ=min 7000)  tl.32 mm pro izolování armatur větších DN 65</t>
  </si>
  <si>
    <t>Izolační desky parotěsná (µ=min 7000)  tl.25 mm pro izolování armatur menších DN 65</t>
  </si>
  <si>
    <t>Kompletní montáž izolace tepelné včetně lepení</t>
  </si>
  <si>
    <t>Lepidlo s odolností na tlak, pro danou izolaci odolné vůči klimatickým vlivům a stárnutí</t>
  </si>
  <si>
    <t>Tabletová sůl 25kg, pro regeneraci duplexní změkčovací stanice</t>
  </si>
  <si>
    <t>Doprava</t>
  </si>
  <si>
    <t>Zaregulování chladícícho systému, vyhotovení protokolu a to včetně funkčních zkoušek</t>
  </si>
  <si>
    <t>Ocelové plechy tl. 10mm pod nohy akumulačních nádrží rozměr 450 x 450 mm</t>
  </si>
  <si>
    <t>767995100R02</t>
  </si>
  <si>
    <t>767995101R00</t>
  </si>
  <si>
    <t>767995105R00</t>
  </si>
  <si>
    <t>767995100R01</t>
  </si>
  <si>
    <t>722181211RA6</t>
  </si>
  <si>
    <t>722181211RA8</t>
  </si>
  <si>
    <t>722181211RA10</t>
  </si>
  <si>
    <t>722181211RA12</t>
  </si>
  <si>
    <t>432</t>
  </si>
  <si>
    <t>722181211RA14</t>
  </si>
  <si>
    <t>722181211RA16</t>
  </si>
  <si>
    <t>722181211RA18</t>
  </si>
  <si>
    <t>722181211RA19</t>
  </si>
  <si>
    <t>722181211RA20</t>
  </si>
  <si>
    <t>722181211RA21</t>
  </si>
  <si>
    <t>42310110RU4</t>
  </si>
  <si>
    <t>42310110RU5</t>
  </si>
  <si>
    <t>42310110RU7</t>
  </si>
  <si>
    <t>42310110RU9</t>
  </si>
  <si>
    <t>42310110RU11</t>
  </si>
  <si>
    <t>42310110RU14</t>
  </si>
  <si>
    <t>24742210R</t>
  </si>
  <si>
    <t>723233140R02</t>
  </si>
  <si>
    <t>732199100R00</t>
  </si>
  <si>
    <t>723233140R09</t>
  </si>
  <si>
    <t>723233140R03</t>
  </si>
  <si>
    <t>14470104R</t>
  </si>
  <si>
    <t>14470106R</t>
  </si>
  <si>
    <t>14470108R</t>
  </si>
  <si>
    <t>14470110R</t>
  </si>
  <si>
    <t>14470116R</t>
  </si>
  <si>
    <t>14470124R</t>
  </si>
  <si>
    <t>14470127R</t>
  </si>
  <si>
    <t>14470129R</t>
  </si>
  <si>
    <t>14470133R</t>
  </si>
  <si>
    <t>733190219R00</t>
  </si>
  <si>
    <t>733190235R00</t>
  </si>
  <si>
    <t>210020922R00R</t>
  </si>
  <si>
    <t>970031100R00</t>
  </si>
  <si>
    <t>970031160R00</t>
  </si>
  <si>
    <t>723233140R04</t>
  </si>
  <si>
    <t>723233140R05</t>
  </si>
  <si>
    <t>723233140R06</t>
  </si>
  <si>
    <t>723233140R08</t>
  </si>
  <si>
    <t>723233140R10</t>
  </si>
  <si>
    <t>723233140R12</t>
  </si>
  <si>
    <t>723233140R13</t>
  </si>
  <si>
    <t>723233140R14</t>
  </si>
  <si>
    <t>723233140R22</t>
  </si>
  <si>
    <t>723233140R23</t>
  </si>
  <si>
    <t>210230131R01</t>
  </si>
  <si>
    <t>230320023R00</t>
  </si>
  <si>
    <t>734191412R01</t>
  </si>
  <si>
    <t>5513808013R</t>
  </si>
  <si>
    <t>734223825R00</t>
  </si>
  <si>
    <t>722235524R00</t>
  </si>
  <si>
    <t>722235525R00</t>
  </si>
  <si>
    <t>734421130R01</t>
  </si>
  <si>
    <t>734293312R00</t>
  </si>
  <si>
    <t>734213112R00</t>
  </si>
  <si>
    <t>734494212R00</t>
  </si>
  <si>
    <t>734413122R00</t>
  </si>
  <si>
    <t>733132114R00</t>
  </si>
  <si>
    <t>722155113R00</t>
  </si>
  <si>
    <t>734421130R00</t>
  </si>
  <si>
    <t>360410073R00</t>
  </si>
  <si>
    <t>5513808010R</t>
  </si>
  <si>
    <t>734163119R00</t>
  </si>
  <si>
    <t>734293313R01</t>
  </si>
  <si>
    <t>42274379R01</t>
  </si>
  <si>
    <t>734193258R00</t>
  </si>
  <si>
    <t>734233111R00</t>
  </si>
  <si>
    <t>734233115R00</t>
  </si>
  <si>
    <t>734193219R00</t>
  </si>
  <si>
    <t>734193218R00</t>
  </si>
  <si>
    <t>734193221R00</t>
  </si>
  <si>
    <t>Tlakoměr - chladící médium</t>
  </si>
  <si>
    <t xml:space="preserve">Montáž teploměru dvoukovového </t>
  </si>
  <si>
    <t>734429101R00</t>
  </si>
  <si>
    <t>734419112R00</t>
  </si>
  <si>
    <t>734224817R00</t>
  </si>
  <si>
    <t>42274379R</t>
  </si>
  <si>
    <t>42210456R01</t>
  </si>
  <si>
    <t>551200356R</t>
  </si>
  <si>
    <t>734191417R00</t>
  </si>
  <si>
    <t>722266217R01</t>
  </si>
  <si>
    <t>42273836R00</t>
  </si>
  <si>
    <t>42273839R00</t>
  </si>
  <si>
    <t>42273842R00</t>
  </si>
  <si>
    <t>722219120R01</t>
  </si>
  <si>
    <t>734295117R01</t>
  </si>
  <si>
    <t>733111222R01</t>
  </si>
  <si>
    <t>733111222R02</t>
  </si>
  <si>
    <t>732111222R01</t>
  </si>
  <si>
    <t>722111222R01</t>
  </si>
  <si>
    <t>Filtr přírubový, DN150 s nav.přírub včetně navařovacích protipřírub 2ks</t>
  </si>
  <si>
    <t>Montáž čerpadel oběhových do DN 125</t>
  </si>
  <si>
    <t>upevňovací prvek pro potrubí chlazení - 89</t>
  </si>
  <si>
    <t>Recon</t>
  </si>
  <si>
    <t>Navařovací příruby a servisní otvory</t>
  </si>
  <si>
    <t>cena / MJ (Kč)</t>
  </si>
  <si>
    <t>Wilo</t>
  </si>
  <si>
    <t>8.003</t>
  </si>
  <si>
    <t>5.001a,b, 5.002</t>
  </si>
  <si>
    <t>5.003</t>
  </si>
  <si>
    <t>5.004</t>
  </si>
  <si>
    <t>IL-E 65/150-5,5/2</t>
  </si>
  <si>
    <t>2.001</t>
  </si>
  <si>
    <t>Redukce varná DN 32/20</t>
  </si>
  <si>
    <t>Redukce varná DN 40/32</t>
  </si>
  <si>
    <t>Kulový kohout DN 40/16</t>
  </si>
  <si>
    <t>Filtr DN 40 včetně protišroubení 2ks</t>
  </si>
  <si>
    <t>Pružný kompenzátor DN 40 pro napojení výměníku VZT jednotky, včetně montážního příslušenství (přírub, těsnění apod).</t>
  </si>
  <si>
    <t>734213112R01</t>
  </si>
  <si>
    <t>230260012R01</t>
  </si>
  <si>
    <t>Redukce varná DN 40/25</t>
  </si>
  <si>
    <t>Klapka mezipřírubová KL DN 150 vč. 2 ks protipřírub</t>
  </si>
  <si>
    <t>Klapka mezipřírubová KL DN 65 vč. 2 ks protipřírub</t>
  </si>
  <si>
    <t>Klapka zpětná pružinová, mezipřírubová KL DN 65 vč. 2ks protipřírub</t>
  </si>
  <si>
    <t>Klapka zpětná pružinová, mezipřírubová KL DN 100 vč. 2ks protipřírub</t>
  </si>
  <si>
    <t>Klapka zpětná pružinová, mezipřírubová KL DN 125 vč. 2ks protipřírub</t>
  </si>
  <si>
    <t>Zdroje</t>
  </si>
  <si>
    <t>Řízený vypouštěcí ventil do DN50 (řízení součástí vlastní regulace zdroje)</t>
  </si>
  <si>
    <t>Kohouty plnicí a vypouštěcí DN 40</t>
  </si>
  <si>
    <t>Filtr přírubový, DN65 s nav.přírub včetně navařovacích protipřírub 2ks</t>
  </si>
  <si>
    <t>Měřič tepla na rozvody chladu, DN80, Qp=40m3/h, Qmax.=45m3/h, s výstupem M-BUS</t>
  </si>
  <si>
    <t>722266217R03</t>
  </si>
  <si>
    <t>230320023R01</t>
  </si>
  <si>
    <t>723233140R27</t>
  </si>
  <si>
    <t>723233140R28</t>
  </si>
  <si>
    <t>723233140R29</t>
  </si>
  <si>
    <t>432-.R02</t>
  </si>
  <si>
    <t>432-.R03</t>
  </si>
  <si>
    <t>432-.R06</t>
  </si>
  <si>
    <t>42310110RU10</t>
  </si>
  <si>
    <t>42310110RU15</t>
  </si>
  <si>
    <t>Redukce varná DN 50/40</t>
  </si>
  <si>
    <t>Kulový kohout DN 50/16</t>
  </si>
  <si>
    <t>Filtr DN 50 včetně protišroubení 2ks</t>
  </si>
  <si>
    <t>8.007</t>
  </si>
  <si>
    <t>734233114R00</t>
  </si>
  <si>
    <t>Aku</t>
  </si>
  <si>
    <t>Doplň</t>
  </si>
  <si>
    <t>Expan.</t>
  </si>
  <si>
    <t>Vzhledem k etapizaci systému řešení chlazení je nutné rezervovat část nákladů na nepředvídatelné vlivy. Dále spolupráci MaR při odstavení systému a najíždění systému. Dále je třeba zohlednit požadavky na zrychlenou montáž při napojování jednotlivých podlaží nebo při etapizaci včetně koordinace,  včetně kompletního zabezpečení stavby a nepředvídatelné provozní stavy, dále zahrnuto zohlednění ohledně chybějícího rozboru vody. S ohledem k možným tolerancím stavby, a s ohledem k ostatním nepředvídatelným vlivům při etapizaci stavby  je v realizační části vyhrazena část na nepředvídatelné vlivy na úrovni: 0,7% zakázky.</t>
  </si>
  <si>
    <t>Potrubní pouzdra parotěsné (µ=min 7000) ze syntetického kaučuku rozvody chladné vody, pro potrubí průměru 28, tl. 25mm, včetně tvarovek</t>
  </si>
  <si>
    <t>Potrubní pouzdra parotěsné (µ=min 7000) ze syntetického kaučuku rozvody chladné vody, pro potrubí průměru 31,8, tl. 25mm, včetně tvarovek</t>
  </si>
  <si>
    <t>Potrubní pouzdra parotěsné (µ=min 7000) ze syntetického kaučuku rozvody chladné vody, pro potrubí průměru 38, tl. 25mm, včetně tvarovek</t>
  </si>
  <si>
    <t>Potrubní pouzdra parotěsné (µ=min 7000) ze syntetického kaučuku rozvody chladné vody, pro potrubí průměru 44, tl. 25mm, včetně tvarovek</t>
  </si>
  <si>
    <t>Potrubní pouzdra parotěsné (µ=min 7000) ze syntetického kaučuku rozvody chladné vody, pro potrubí průměru 57, tl. 25mm, včetně tvarovek</t>
  </si>
  <si>
    <t>Potrubní pouzdra parotěsné (µ=min 7000) ze syntetického kaučuku rozvody chladné vody, pro potrubí průměru 76, tl. 25mm, včetně tvarovek</t>
  </si>
  <si>
    <t>Potrubní pouzdra parotěsné (µ=min 7000) ze syntetického kaučuku rozvody chladné vody, pro potrubí průměru 89, tl. 25mm, včetně tvarovek</t>
  </si>
  <si>
    <t>Potrubní pouzdra parotěsná (µ=min 7000) ze syntetického kaučuku rozvody chladné vody, pro potrubí průměru 108, tl. 32mm, včetně tvarovek</t>
  </si>
  <si>
    <t>Potrubní pouzdra parotěsná (µ=min 7000) ze syntetického kaučuku rozvody chladné vody, pro potrubí průměru 133, tl. 32mm, včetně tvarovek</t>
  </si>
  <si>
    <t>Potrubní pouzdra parotěsná (µ=min 7000) ze syntetického kaučuku rozvody chladné vody, pro potrubí průměru 159, tl. 32mm, včetně tvarovek</t>
  </si>
  <si>
    <t>Prostup s chráničkou pro DN 100 včetně požárního zatěsnění</t>
  </si>
  <si>
    <t>722181211RA37</t>
  </si>
  <si>
    <t>722181211RA38</t>
  </si>
  <si>
    <t>722181211RA39</t>
  </si>
  <si>
    <t>722181211RA40</t>
  </si>
  <si>
    <t>722181211RA41</t>
  </si>
  <si>
    <t>Prostup s chráničkou pro DN 25 včetně požárního zatěsnění</t>
  </si>
  <si>
    <t>Prostup s chráničkou pro DN 32 včetně požárního zatěsnění</t>
  </si>
  <si>
    <t>Stavební materiál - přípomoce</t>
  </si>
  <si>
    <t>Prostupy včetně vrtů a materiálu na zatěsnění pro potrubí do DN 50 (včetně)</t>
  </si>
  <si>
    <t>Prostupy včetně vrtů a materiálu na zatěsnění pro potrubí do DN 125 (včetně)</t>
  </si>
  <si>
    <t>Jeřáb</t>
  </si>
  <si>
    <t>lešení, plošiny pojízdné</t>
  </si>
  <si>
    <t>Účast na zprovoznění MaR</t>
  </si>
  <si>
    <t>Štítkování zařízení</t>
  </si>
  <si>
    <t>900-01.R01</t>
  </si>
  <si>
    <t>900-01.R02</t>
  </si>
  <si>
    <t>900-01.R03</t>
  </si>
  <si>
    <t>900-01.R04</t>
  </si>
  <si>
    <t>900-01.R05</t>
  </si>
  <si>
    <t>900-01.R06</t>
  </si>
  <si>
    <t>900-01.R07</t>
  </si>
  <si>
    <t>900-01.R08</t>
  </si>
  <si>
    <t>900-01.R09</t>
  </si>
  <si>
    <t>900-01.R10</t>
  </si>
  <si>
    <t>900-01.R11</t>
  </si>
  <si>
    <t>900-01.R12</t>
  </si>
  <si>
    <t>900-01.R13</t>
  </si>
  <si>
    <t>900-01.R14</t>
  </si>
  <si>
    <t>900-01.R15</t>
  </si>
  <si>
    <t>900-01.R16</t>
  </si>
  <si>
    <t>900-01.R17</t>
  </si>
  <si>
    <t>900-01.R18</t>
  </si>
  <si>
    <t>900-01.R19</t>
  </si>
  <si>
    <t>900-01.R20</t>
  </si>
  <si>
    <t>900-01.R21</t>
  </si>
  <si>
    <t xml:space="preserve">Montážní materiál </t>
  </si>
  <si>
    <t xml:space="preserve">Těsnící materiál </t>
  </si>
  <si>
    <t xml:space="preserve">Spojovací materiál </t>
  </si>
  <si>
    <t>Pomocné kce pro kotvení potrubí a zařízení do stavby</t>
  </si>
  <si>
    <t>Montážní systém pro upevnění rozvodů chladu včetně pomocných ocelových kcí</t>
  </si>
  <si>
    <t>900-01.R22</t>
  </si>
  <si>
    <t>900-01.R23</t>
  </si>
  <si>
    <t>900-01.R24</t>
  </si>
  <si>
    <t>900-01.R25</t>
  </si>
  <si>
    <t>DN15</t>
  </si>
  <si>
    <t>DN20</t>
  </si>
  <si>
    <t>DN32</t>
  </si>
  <si>
    <t>DN40</t>
  </si>
  <si>
    <t>DN50</t>
  </si>
  <si>
    <t>DN65</t>
  </si>
  <si>
    <t>DN80</t>
  </si>
  <si>
    <t>DN25</t>
  </si>
  <si>
    <t>DN100</t>
  </si>
  <si>
    <t>DN125</t>
  </si>
  <si>
    <t>DN150</t>
  </si>
  <si>
    <t>Zdroj chladu s vodou chlazeným kondenzátorem o chladicím výkonu za podmínek EVP: Tin=12°C Tout=6°C, kapalina: voda, CDS: Tin=44°C. Tout=50°C, kapalina: PG40%: min. 200 kW, příkon 55,9kW I=118A, účinnost EER dle za podmínek EVP: Tin=12°C Tout=6°C, kapalina: voda, CDS: Tin=44°C. Tout=50°C,kapalina: PG40%: min. 3,58
‐ EUROVENT certifikace
‐ účinnost ESEER dle EUROVENT min. 6,05
‐ 2 chladivové okruhy
‐ 4 scroll kompresory
‐ elektronické expanzní ventily
‐ chladivo R410A
‐ tlakovou ztrátu na výparníku ( je nízká ) – 17 kPa
‐ tlakovou ztrátu na kondenzátoru ( na použití PG je nízká ) – 37 kPa
‐ hladina akustického výkonu dle UNI EN ISO 9614‐2 max. 80 dB(A)
‐ antivibrační podložky dodávané výrobcem
‐ flow switch pro výparník a kondenzátor</t>
  </si>
  <si>
    <t>Opláštění jednotky - low noise</t>
  </si>
  <si>
    <t>Komunikační karta Modbus</t>
  </si>
  <si>
    <t>Aermec</t>
  </si>
  <si>
    <t>První start, asistence při skládání a uvedení zařízení do provozu a zaškolení obsluhy (max. 3 návštěvy)</t>
  </si>
  <si>
    <t>Oddělovací člen určený pro změkčovací stanici, použitelný s  vodoměrem</t>
  </si>
  <si>
    <t>Fillset FV</t>
  </si>
  <si>
    <t xml:space="preserve">RZFD 3,5-320-9100/SE
</t>
  </si>
  <si>
    <t>Montážní blok 1 - Montážní blok s obtokem a vzorkovacím kohoutem pro jednoduchou montáž zařízení.</t>
  </si>
  <si>
    <t>Mont.blok 1</t>
  </si>
  <si>
    <t>Filtr-mosazný vířivý filtr hrubých nečistot 1", typ MS 31.</t>
  </si>
  <si>
    <t>FWS 1</t>
  </si>
  <si>
    <t>Dávkovací zařízení chemikálií, DN připojení 3/4" s plastovou nádržkou 20l propojenou na potrubní systém</t>
  </si>
  <si>
    <t>Jesco LT 4-3/4 prop</t>
  </si>
  <si>
    <t>Měřící sada pro stanovení celkové tvrdosti vody v daném regionu</t>
  </si>
  <si>
    <t>Podtlakové odplyňovací zařízení s integr.doplňováním P=1,0kw 230v, max.teplota 70°c včetně propojení a servisních armatur. zaškolení, uvedení do provozu, výkon doplňování 0,55 m3/h</t>
  </si>
  <si>
    <t>Servitec 75</t>
  </si>
  <si>
    <t>Expanzní nádoba 6bar, 400 l včetně konzoly pro instalaci, servisního ventilu 3/4" a manometru, včetně izolačního pouzdra</t>
  </si>
  <si>
    <t>NG400/6</t>
  </si>
  <si>
    <t>Systém úpravy vody pro topný okruh - montáž instalační materiál, zaškolení, uvedení do provozu</t>
  </si>
  <si>
    <t xml:space="preserve">Provozní chemikálie pro úpravu vody 
Tabletová sůl 3x25kg; Inhibitor koroze a korekce pH v systému ÚT (25kg); Inhibitor pro odkysličení vody pro systémy ÚT (15kg); Inhibitor koroze a korekce pH </t>
  </si>
  <si>
    <t>Změkčovací stanice s časově elektronickým řízením, výkon 3,5m3/h. Použití pro technologické procesy, soustavy topení/chlazení, zaškolení, uvedení do provozu včetně napojujících hadic a připojujících armatur, včetně bypass armatur, včetně nádoby</t>
  </si>
  <si>
    <t>Expanzní nádoba pro nemrznoucí směsi 6bar, 300 l včetně konzoly pro instalaci, servisního ventilu 3/4" a manometru, včetně izolačního pouzdra</t>
  </si>
  <si>
    <t>Manometr pro expanzní nádoby</t>
  </si>
  <si>
    <t>AKUMULACE CHLAZENÍ 1600l/6bar, ∅1000mm, v=SNÍŽENÁ 2300mm, IZOLACE SYNTETICKÝ KAUČUK TL.32mm  s vnitřním a vnějším žárovým zinkováním. Nádrž bude včetně nátrubků, revizních otvorů atd dle schematu. Pod nohy bude roznášecí plech 450x450 mm. Zařízení bude vybaveno servisním otvorem, nátrubky pro měření teplot a tlaků, návarky pro pojistný ventil, návarky pro odvzušnění a vypouštění</t>
  </si>
  <si>
    <t>Uvedení do provozu servisním technikem</t>
  </si>
  <si>
    <t>h</t>
  </si>
  <si>
    <t>Reglyk</t>
  </si>
  <si>
    <t>ETL</t>
  </si>
  <si>
    <t>stojan rozdělovače, sběrače</t>
  </si>
  <si>
    <t>Stratos 100/1-12</t>
  </si>
  <si>
    <t>Redukce varná DN 50/25</t>
  </si>
  <si>
    <t>Oventrop</t>
  </si>
  <si>
    <t>VTR</t>
  </si>
  <si>
    <t>Pružný kompenzátor DN 50 pro napojení výměníku VZT jednotky, včetně montážního příslušenství (přírub, těsnění apod).</t>
  </si>
  <si>
    <t>Redukce varná DN 65/50</t>
  </si>
  <si>
    <t>Redukce varná DN 65/40</t>
  </si>
  <si>
    <t>Pružný kompenzátor DN 65 pro napojení výměníku VZT jednotky, včetně montážního příslušenství (přírub, těsnění apod).</t>
  </si>
  <si>
    <t>PAVILON FTZ V AREÁLU ČZU</t>
  </si>
  <si>
    <t>SO 02 Novostavba pavilonu FTZ</t>
  </si>
  <si>
    <t>D1-02-07/002</t>
  </si>
  <si>
    <t>PE zásobní nádrž pro přípravu chemikálie min.80l</t>
  </si>
  <si>
    <t>Solenoid 1/2" včetně pohonu, pro míchání nemrznoucí směsi</t>
  </si>
  <si>
    <t>Rozdělovač DN250, vstup DN125, 4 větvě DN100, ukončených přírubou, součástí vypouštěcí ventily DN25, návarky na teploměry a tlakoměry.</t>
  </si>
  <si>
    <t>Sběrač  DN250, vstup DN125, 4 větvě DN100, ukončených přírubou, součástí vypouštěcí ventily DN25, návarky na teploměry a tlakoměry.</t>
  </si>
  <si>
    <t>IL-E 80/130-5,5/2</t>
  </si>
  <si>
    <t>fcu</t>
  </si>
  <si>
    <t>Yonos Maxo 65/0,5-12</t>
  </si>
  <si>
    <t>Výparník</t>
  </si>
  <si>
    <t>Montážní konstrukce pro čerpadla a filtry včetně antivibrační podložky tl.100mm</t>
  </si>
  <si>
    <t>Čerpadlo mokroběžné chlazení, médium voda, jednoduché s elektronickou regulací otáček DN65, PN6/10, Q=13,5m3/h, H=8m P-0,8kW, I-3,5A, U-230V, včetně 2ks protipřírub. Čerpadlo bez izolace - izolace řešena samostatně, s možností řízení MaR 0-10V. Součástí čerpadla bude modul pro možnost řízení 0-10V od MaR.</t>
  </si>
  <si>
    <t>Kondenz</t>
  </si>
  <si>
    <t>Čerpadlo suchoběžné na rozvody chlazení, médium nemrznoucí směs, jednoduché s elektronickou regulací otáček 43m3/h; H=12m;  P=6kW, 9,9A; 400V; DN165, včetně 2ks protipřírub. Čerpadlo bez izolace - izolace řešena samostatně, s možností řítzení MaR 0-10V. Součástí čerpadla bude FM pro možnost řízení 0-10V od MaR.</t>
  </si>
  <si>
    <t>Čerpadlo suchoběžné na rozvody chlazení, médium voda, jednoduché s elektronickou regulací otáček DN80, PN6/10, Q=58m3/h, H=11m P-5,5kW, I-10,4A, U-400V, včetně 2ks protipřírub. Čerpadlo bez izolace - izolace řešena samostatně, s možností řítzení MaR 0-10V.  Součástí čerpadla bude FM pro možnost řízení 0-10V od MaR.</t>
  </si>
  <si>
    <t>Kompletní pojistná skupina PN10 3,5bar včetně manometru a odvzdušňujícícho ventilu</t>
  </si>
  <si>
    <t>Zařízení pro přípravzu nemrznoucích směsí, automatické doplňovací zařízení s čerpadlem pro plnění a doplňování glykolové směsi z otevřené míchací nádoby, D980 mm, H=1100 mm</t>
  </si>
  <si>
    <t>Ekologická nemrznoucí směs s provozní teplotou -20°C</t>
  </si>
  <si>
    <t>m3</t>
  </si>
  <si>
    <t>rlc 85/50 G2</t>
  </si>
  <si>
    <t xml:space="preserve">Deskový výměník odpadního tepla pro regeneraci zemních vrtů,100kW, plocha 6,48m2, desek 50kusů, Primár- 42/36°C. 15m3/h, 23,4kPa, Sekundár- 36/30°C, 14,5m3/h, 21,6kPa </t>
  </si>
  <si>
    <t>Volné chlazení</t>
  </si>
  <si>
    <t>Smyčkový vyvažovací ventil závitový  DN25, , m=1,082m3/h, min.dp=3kPa, včetně měření tlaku, průtoku včetně dvou kusů protišroubení</t>
  </si>
  <si>
    <t>REGULAČNÍ UZEL VZT JEDNOTKY - 0.1: (13,2kW)</t>
  </si>
  <si>
    <t>Smyčkový vyvažovací ventil závitový  DN32, , m=2,267m3/h, min.dp=3kPa, včetně měření tlaku, průtoku včetně dvou kusů protišroubení</t>
  </si>
  <si>
    <t>REGULAČNÍ UZEL VZT JEDNOTKY - 2.1: (30kW)</t>
  </si>
  <si>
    <t>Smyčkový vyvažovací ventil závitový  DN40, , m=5,153m3/h, min.dp=3kPa, včetně měření tlaku, průtoku včetně dvou kusů protišroubení</t>
  </si>
  <si>
    <t>REGULAČNÍ UZEL VZT JEDNOTKY - 1.1: (40kW)</t>
  </si>
  <si>
    <t>Smyčkový vyvažovací ventil závitový  DN50, , m=6,871m3/h, min.dp=3kPa, včetně měření tlaku, průtoku včetně dvou kusů protišroubení</t>
  </si>
  <si>
    <t>REGULAČNÍ UZEL VZT JEDNOTKY - 3.2, 1.B: (6,0;6,3kW)</t>
  </si>
  <si>
    <t>přechod na nátrubek regulačního uzlu</t>
  </si>
  <si>
    <t>Fan-coil včetně regulačního uzlu je součástí VZT</t>
  </si>
  <si>
    <t>BYPASS</t>
  </si>
  <si>
    <t>Redukce varná DN 80/65</t>
  </si>
  <si>
    <t>Redukce varná DN 80/50</t>
  </si>
  <si>
    <t>2</t>
  </si>
  <si>
    <t>3-cestný regulační ventil s rovnoprocentní charakteristikou, DN65, m=13,5m3/h, dp=15kPa, včetně dodávky protipřírub - 2ks</t>
  </si>
  <si>
    <t>Filtr DN 65 včetně protipřírub 2ks</t>
  </si>
  <si>
    <t>Pružný kompenzátor DN 80 pro napojení výměníku, včetně montážního příslušenství (přírub, těsnění apod).</t>
  </si>
  <si>
    <t>přechod na nátrubek výměníku</t>
  </si>
  <si>
    <t xml:space="preserve">Deskový výměník volného chlazení,70kW, plocha 13,23m2, desek 100kusů, Primár- 10/15°C. 12,5m3/h, 14,5kPa, Sekundár- 12/17°C, 12m3/h, 11kPa </t>
  </si>
  <si>
    <t>rlc 85/100 G2</t>
  </si>
  <si>
    <t>VZT+volné chlazení</t>
  </si>
  <si>
    <t>Filtr DN 25 včetně protišroubení 2ks</t>
  </si>
  <si>
    <t>Filtr přírubový, DN125 s nav.přírub včetně navařovacích protipřírub 2ks</t>
  </si>
  <si>
    <t>Filtr přírubový, DN100 s nav.přírub včetně navařovacích protipřírub 2ks</t>
  </si>
  <si>
    <t>tlakoměr smyčka kohout, + 3 x KK a potrubní zapojení pro měření tlakové diference na filtru</t>
  </si>
  <si>
    <t>Klapka zpětná pružinová, mezipřírubová KL DN 80 vč. 2ks protipřírub</t>
  </si>
  <si>
    <t>Kohout kulový, vnitř.-vnitř.z. DN 20</t>
  </si>
  <si>
    <t>2-cestný regulační ventil DN80, kvs=100</t>
  </si>
  <si>
    <t>Potrubí hladké bezešvé nízkotlaké D 159 (DN 150) včetně tvarovek a přechodů</t>
  </si>
  <si>
    <t>2.vrstva minerální izolace tl. 80 se zadrátováním včetně tvarovek a izolací v části armatur    pro potrubí průměru 133 a první vrstvu izolace tl. 32mm, vnitřní průměr 197-200mm</t>
  </si>
  <si>
    <t>2.vrstva minerální izolace tl. 80 se zadrátováním včetně tvarovek a izolací v části armatur    pro potrubí průměru 159 a první vrstvu izolace tl. 32mm, vnitřní průměr 223-225mm</t>
  </si>
  <si>
    <t>Oplechování potrubí DN 125</t>
  </si>
  <si>
    <t>Oplechování potrubí DN 150</t>
  </si>
  <si>
    <t>Dvoužílové topné kabely se studeným koncem 18W/m, 230V</t>
  </si>
  <si>
    <t>Devi</t>
  </si>
  <si>
    <t>DEVIsafe 18T</t>
  </si>
  <si>
    <t>UH50</t>
  </si>
  <si>
    <t>M-Bus G4</t>
  </si>
  <si>
    <t>VFC</t>
  </si>
  <si>
    <t>90-proporcionální</t>
  </si>
  <si>
    <t xml:space="preserve">Proporcionální servopohon otočný, 0-10V, 24V. </t>
  </si>
  <si>
    <t>3-cestná regulační klapka DN150, tlak.ztráta 3,3kPa, Kvs-400m3/h u akumulační nádoby</t>
  </si>
  <si>
    <t>2-cestný ventil</t>
  </si>
  <si>
    <t>Aktor M 24V s adaptérem</t>
  </si>
  <si>
    <t>Elektromotorický servopohon 0-10V, 24V s V/zdvihu 40mm, s adaptérem</t>
  </si>
  <si>
    <t>2-cestný ventil DN65 s rovnoprocentní charakteristikou, kvs=63m3/h.</t>
  </si>
  <si>
    <t>Vyvažovací ventil z šedé litiny přírubový DN65, Kvs=98m3/h včetně měření tlaku, průtoku včetně dvou kusů protipřírub</t>
  </si>
  <si>
    <t>Vyvažovací ventil z šedé litiny přírubový DN80, Kvs=122,2m3/h včetně měření tlaku, průtoku včetně dvou kusů protipřírub</t>
  </si>
  <si>
    <t>Vyvažovací ventil z šedé litiny přírubový DN100, Kvs=201m3/h včetně měření tlaku, průtoku včetně dvou kusů protipřírub</t>
  </si>
  <si>
    <t>Protipříruby</t>
  </si>
  <si>
    <t>Protišroubení</t>
  </si>
  <si>
    <t>Solenoid DN20 včetně pohonu 24V</t>
  </si>
  <si>
    <t>Vodoměr PN 16, DN80 pro měření nemrznoucích směsí, Qn=40-120m3/h, Qmax=200m3/h, s online výstup 4-20mA</t>
  </si>
  <si>
    <t>722181211RA22</t>
  </si>
  <si>
    <t>722181211RA23</t>
  </si>
  <si>
    <t>722181211RA24</t>
  </si>
  <si>
    <t>722181211RA25</t>
  </si>
  <si>
    <t>722181211RA26</t>
  </si>
  <si>
    <t>Armaflex</t>
  </si>
  <si>
    <t>AC</t>
  </si>
  <si>
    <t>Rockwool</t>
  </si>
  <si>
    <t>AF</t>
  </si>
  <si>
    <t>upevňovací prvek pro potrubí chlazení - 48</t>
  </si>
  <si>
    <t>upevňovací prvek pro potrubí chlazení - 160</t>
  </si>
  <si>
    <t>Vzduchem chlazený suchý chladič s axiálními ventilátory,k jednotce tepelný výklon za podmínek Tok=+35°C, Tin=50°C. Tout=44°C, kapalina PG40%: min. 257 kW
‐ axiální EC ventilátory v nízkohlučném provedení
‐ el. příkon ventilátorů max. 4,65 kW
‐ tlaková ztráta max. 49 kPa
‐ hladina akustického výkonu dle UNI EN ISO 9614‐2 max. 76 dB(A)
‐ regulátor otáček EC vennlátorů vč. teplotního čidla
‐ rozvaděč vč. hlavního vypínače a servisních vypínačů pro každý vennlátor
‐ antivibrační podložky dodávané výrobcem</t>
  </si>
  <si>
    <t>Doplnkove kce. slozene z ocel.mat. pro montáž potrubí a zařízení chlazení</t>
  </si>
  <si>
    <t>767995100R03</t>
  </si>
  <si>
    <t>42273842R01</t>
  </si>
  <si>
    <t>42273842R02</t>
  </si>
  <si>
    <t>723233140R07</t>
  </si>
  <si>
    <t>723233140R11</t>
  </si>
  <si>
    <t>723233140R15</t>
  </si>
  <si>
    <t>723233140R16</t>
  </si>
  <si>
    <t>723233140R17</t>
  </si>
  <si>
    <t>723233140R18</t>
  </si>
  <si>
    <t>723233140R19</t>
  </si>
  <si>
    <t>723233140R20</t>
  </si>
  <si>
    <t>723233140R21</t>
  </si>
  <si>
    <t>723233140R24</t>
  </si>
  <si>
    <t>723233140R25</t>
  </si>
  <si>
    <t>723233140R26</t>
  </si>
  <si>
    <t>723233140R30</t>
  </si>
  <si>
    <t>723233140R31</t>
  </si>
  <si>
    <t>723233140R32</t>
  </si>
  <si>
    <t>723233140R33</t>
  </si>
  <si>
    <t>Ing. Hájek, Ing. Šverák</t>
  </si>
  <si>
    <t>734193217R00</t>
  </si>
  <si>
    <t>Kohout kulový, vnitř.-vnitř.z. DN 50</t>
  </si>
  <si>
    <t>Kohout kulový, vnitř.-vnitř.z. DN 40</t>
  </si>
  <si>
    <t>734233112R00</t>
  </si>
  <si>
    <t>734233113R00</t>
  </si>
  <si>
    <t>Dodavatelská - realizační projektová dokumentace CHL- součástí předávací dokumentace</t>
  </si>
  <si>
    <t>Projektová dokumentace CHL- skutečného provedení - součástí předávací dokumentace</t>
  </si>
  <si>
    <t>900-01.R26</t>
  </si>
  <si>
    <t>3f150</t>
  </si>
  <si>
    <t>3f65</t>
  </si>
  <si>
    <t>3-cestná regulační klapka DN65, tlak.ztráta 3,3kPa, Kvs-90m3/h</t>
  </si>
  <si>
    <t>Čerpadlo suchoběžné chlazení, médium voda, jednoduché s elektronickou regulací otáček DN100 PN6/10, Q=36,5m3/h, H=9m, P-1,55W, I-6,8A, U-230V
 včetně 2ks protipřírub. Čerpadlo bez izolace - izolace řešena samostatně, s možností řítzení MaR 0-10V. Součástí čerpadla bude modul pro možnost řízení 0-10V od MaR.</t>
  </si>
  <si>
    <t>2-cestný regulační ventil s rovnoprocentní charakteristikou, DN32, m=5,153m3/h, dp=15kPa, včetně dodávky protišroubení/protipřírub - 2ks + zpětná vazba polohy zdvihu.</t>
  </si>
  <si>
    <t>2-cestný regulační ventil s rovnoprocentní charakteristikou, DN40, m=6,871m3/h, dp=15kPa, včetně dodávky protišroubení/protipřírub - 2ks + zpětná vazba polohy zdvihu.</t>
  </si>
  <si>
    <t>2-cestný regulační ventil s rovnoprocentní charakteristikou, DN20, m=1,082m3/h, dp=15kPa, včetně dodávky protišroubení/protipřírub - 2ks + zpětná vazba polohy zdvihu.</t>
  </si>
  <si>
    <t>2-cestný regulační ventil s rovnoprocentní charakteristikou, DN25, m=2,267m3/h, dp=15kPa, včetně dodávky protišroubení/protipřírub - 2ks + zpětná vazba polohy zdvihu.</t>
  </si>
  <si>
    <t>Regulační ventil DN40, Kv=24,34m3/h, rovnoprocentní charakteristika, 2ks protipřírub + zpětná vazba polohy zdvihu.</t>
  </si>
  <si>
    <t>t</t>
  </si>
  <si>
    <t>Přesun hmot pro zdroje chladu, výšky do 24m</t>
  </si>
  <si>
    <t xml:space="preserve">Přesun hmot pro izolace tepelné, výšky do 24 m </t>
  </si>
  <si>
    <t>hmotnost</t>
  </si>
  <si>
    <t>celkem kg</t>
  </si>
  <si>
    <t xml:space="preserve">Přesun hmot pro rozvody potrubí, výšky do 24 m 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</si>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</sst>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d/mm/yy"/>
    <numFmt numFmtId="166" formatCode="#,##0\ &quot;Kč&quot;"/>
    <numFmt numFmtId="167" formatCode="#,##0.00\ &quot;Kč&quot;"/>
  </numFmts>
  <fonts count="27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 CE"/>
      <family val="2"/>
    </font>
    <font>
      <b/>
      <sz val="1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0070C0"/>
      <name val="Arial"/>
      <family val="2"/>
    </font>
    <font>
      <i/>
      <sz val="10"/>
      <name val="Arial"/>
      <family val="2"/>
    </font>
    <font>
      <sz val="10"/>
      <color rgb="FF969696"/>
      <name val="Arial"/>
      <family val="2"/>
    </font>
    <font>
      <b/>
      <i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thin"/>
      <right/>
      <top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4" fontId="1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6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Continuous"/>
    </xf>
    <xf numFmtId="49" fontId="4" fillId="2" borderId="4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Continuous"/>
    </xf>
    <xf numFmtId="0" fontId="3" fillId="0" borderId="5" xfId="0" applyFont="1" applyBorder="1"/>
    <xf numFmtId="49" fontId="3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3" fillId="0" borderId="8" xfId="0" applyFont="1" applyBorder="1"/>
    <xf numFmtId="49" fontId="3" fillId="0" borderId="9" xfId="0" applyNumberFormat="1" applyFont="1" applyBorder="1"/>
    <xf numFmtId="49" fontId="3" fillId="0" borderId="8" xfId="0" applyNumberFormat="1" applyFont="1" applyBorder="1"/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6" fillId="0" borderId="7" xfId="0" applyFont="1" applyBorder="1"/>
    <xf numFmtId="49" fontId="3" fillId="0" borderId="11" xfId="0" applyNumberFormat="1" applyFont="1" applyBorder="1" applyAlignment="1">
      <alignment horizontal="left"/>
    </xf>
    <xf numFmtId="49" fontId="6" fillId="2" borderId="7" xfId="0" applyNumberFormat="1" applyFont="1" applyFill="1" applyBorder="1"/>
    <xf numFmtId="49" fontId="1" fillId="2" borderId="8" xfId="0" applyNumberFormat="1" applyFont="1" applyFill="1" applyBorder="1"/>
    <xf numFmtId="49" fontId="6" fillId="2" borderId="9" xfId="0" applyNumberFormat="1" applyFont="1" applyFill="1" applyBorder="1"/>
    <xf numFmtId="49" fontId="1" fillId="2" borderId="9" xfId="0" applyNumberFormat="1" applyFont="1" applyFill="1" applyBorder="1"/>
    <xf numFmtId="0" fontId="3" fillId="0" borderId="10" xfId="0" applyFont="1" applyFill="1" applyBorder="1"/>
    <xf numFmtId="3" fontId="3" fillId="0" borderId="11" xfId="0" applyNumberFormat="1" applyFont="1" applyBorder="1" applyAlignment="1">
      <alignment horizontal="left"/>
    </xf>
    <xf numFmtId="0" fontId="1" fillId="0" borderId="0" xfId="0" applyFont="1" applyFill="1"/>
    <xf numFmtId="49" fontId="6" fillId="2" borderId="12" xfId="0" applyNumberFormat="1" applyFont="1" applyFill="1" applyBorder="1"/>
    <xf numFmtId="49" fontId="6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0" xfId="0" applyNumberFormat="1" applyFont="1" applyBorder="1" applyAlignment="1">
      <alignment horizontal="left"/>
    </xf>
    <xf numFmtId="0" fontId="3" fillId="0" borderId="13" xfId="0" applyFont="1" applyBorder="1"/>
    <xf numFmtId="0" fontId="3" fillId="0" borderId="10" xfId="0" applyNumberFormat="1" applyFont="1" applyBorder="1"/>
    <xf numFmtId="0" fontId="3" fillId="0" borderId="14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14" xfId="0" applyFont="1" applyBorder="1" applyAlignment="1">
      <alignment horizontal="left"/>
    </xf>
    <xf numFmtId="0" fontId="1" fillId="0" borderId="0" xfId="0" applyFont="1" applyBorder="1"/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3" fontId="1" fillId="0" borderId="0" xfId="0" applyNumberFormat="1" applyFont="1"/>
    <xf numFmtId="0" fontId="3" fillId="0" borderId="7" xfId="0" applyFont="1" applyBorder="1"/>
    <xf numFmtId="0" fontId="3" fillId="0" borderId="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6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Continuous"/>
    </xf>
    <xf numFmtId="0" fontId="6" fillId="2" borderId="20" xfId="0" applyFont="1" applyFill="1" applyBorder="1" applyAlignment="1">
      <alignment horizontal="centerContinuous"/>
    </xf>
    <xf numFmtId="0" fontId="1" fillId="2" borderId="20" xfId="0" applyFont="1" applyFill="1" applyBorder="1" applyAlignment="1">
      <alignment horizontal="centerContinuous"/>
    </xf>
    <xf numFmtId="0" fontId="1" fillId="0" borderId="22" xfId="0" applyFont="1" applyBorder="1"/>
    <xf numFmtId="0" fontId="1" fillId="0" borderId="23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4" xfId="0" applyFont="1" applyBorder="1"/>
    <xf numFmtId="0" fontId="1" fillId="0" borderId="23" xfId="0" applyFont="1" applyBorder="1" applyAlignment="1">
      <alignment shrinkToFit="1"/>
    </xf>
    <xf numFmtId="0" fontId="1" fillId="0" borderId="25" xfId="0" applyFont="1" applyBorder="1"/>
    <xf numFmtId="0" fontId="1" fillId="0" borderId="12" xfId="0" applyFont="1" applyBorder="1"/>
    <xf numFmtId="3" fontId="1" fillId="0" borderId="26" xfId="0" applyNumberFormat="1" applyFont="1" applyBorder="1"/>
    <xf numFmtId="0" fontId="1" fillId="0" borderId="27" xfId="0" applyFont="1" applyBorder="1"/>
    <xf numFmtId="0" fontId="6" fillId="2" borderId="2" xfId="0" applyFont="1" applyFill="1" applyBorder="1"/>
    <xf numFmtId="0" fontId="6" fillId="2" borderId="4" xfId="0" applyFont="1" applyFill="1" applyBorder="1"/>
    <xf numFmtId="0" fontId="6" fillId="2" borderId="3" xfId="0" applyFont="1" applyFill="1" applyBorder="1"/>
    <xf numFmtId="0" fontId="6" fillId="2" borderId="28" xfId="0" applyFont="1" applyFill="1" applyBorder="1"/>
    <xf numFmtId="0" fontId="6" fillId="2" borderId="29" xfId="0" applyFont="1" applyFill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/>
    <xf numFmtId="0" fontId="1" fillId="0" borderId="0" xfId="0" applyFont="1" applyFill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164" fontId="1" fillId="0" borderId="36" xfId="0" applyNumberFormat="1" applyFont="1" applyBorder="1" applyAlignment="1">
      <alignment horizontal="right"/>
    </xf>
    <xf numFmtId="0" fontId="1" fillId="0" borderId="36" xfId="0" applyFont="1" applyBorder="1"/>
    <xf numFmtId="0" fontId="1" fillId="0" borderId="9" xfId="0" applyFont="1" applyBorder="1"/>
    <xf numFmtId="164" fontId="1" fillId="0" borderId="8" xfId="0" applyNumberFormat="1" applyFont="1" applyBorder="1" applyAlignment="1">
      <alignment horizontal="right"/>
    </xf>
    <xf numFmtId="0" fontId="5" fillId="2" borderId="37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0" fontId="5" fillId="0" borderId="0" xfId="0" applyFont="1"/>
    <xf numFmtId="0" fontId="1" fillId="0" borderId="0" xfId="0" applyFont="1" applyAlignment="1">
      <alignment vertical="justify"/>
    </xf>
    <xf numFmtId="49" fontId="1" fillId="0" borderId="38" xfId="20" applyNumberFormat="1" applyFont="1" applyBorder="1">
      <alignment/>
      <protection/>
    </xf>
    <xf numFmtId="49" fontId="1" fillId="0" borderId="38" xfId="20" applyNumberFormat="1" applyFont="1" applyBorder="1" applyAlignment="1">
      <alignment horizontal="right"/>
      <protection/>
    </xf>
    <xf numFmtId="49" fontId="1" fillId="0" borderId="38" xfId="0" applyNumberFormat="1" applyFont="1" applyBorder="1" applyAlignment="1">
      <alignment horizontal="left"/>
    </xf>
    <xf numFmtId="0" fontId="1" fillId="0" borderId="39" xfId="0" applyNumberFormat="1" applyFont="1" applyBorder="1"/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2" borderId="19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3" fontId="1" fillId="0" borderId="32" xfId="0" applyNumberFormat="1" applyFont="1" applyBorder="1"/>
    <xf numFmtId="0" fontId="6" fillId="2" borderId="19" xfId="0" applyFont="1" applyFill="1" applyBorder="1"/>
    <xf numFmtId="0" fontId="6" fillId="2" borderId="20" xfId="0" applyFont="1" applyFill="1" applyBorder="1"/>
    <xf numFmtId="3" fontId="6" fillId="2" borderId="21" xfId="0" applyNumberFormat="1" applyFont="1" applyFill="1" applyBorder="1"/>
    <xf numFmtId="0" fontId="1" fillId="2" borderId="29" xfId="0" applyFont="1" applyFill="1" applyBorder="1"/>
    <xf numFmtId="0" fontId="6" fillId="2" borderId="4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" fontId="4" fillId="2" borderId="29" xfId="0" applyNumberFormat="1" applyFont="1" applyFill="1" applyBorder="1" applyAlignment="1">
      <alignment horizontal="right"/>
    </xf>
    <xf numFmtId="0" fontId="1" fillId="0" borderId="15" xfId="0" applyFont="1" applyBorder="1"/>
    <xf numFmtId="3" fontId="1" fillId="0" borderId="24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2" borderId="37" xfId="0" applyFont="1" applyFill="1" applyBorder="1"/>
    <xf numFmtId="0" fontId="6" fillId="2" borderId="26" xfId="0" applyFont="1" applyFill="1" applyBorder="1"/>
    <xf numFmtId="0" fontId="1" fillId="2" borderId="26" xfId="0" applyFont="1" applyFill="1" applyBorder="1"/>
    <xf numFmtId="4" fontId="1" fillId="2" borderId="37" xfId="0" applyNumberFormat="1" applyFont="1" applyFill="1" applyBorder="1"/>
    <xf numFmtId="4" fontId="1" fillId="2" borderId="26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49" fontId="3" fillId="0" borderId="12" xfId="0" applyNumberFormat="1" applyFont="1" applyBorder="1"/>
    <xf numFmtId="49" fontId="6" fillId="2" borderId="8" xfId="0" applyNumberFormat="1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1" fillId="0" borderId="0" xfId="20" applyFont="1" applyFill="1">
      <alignment/>
      <protection/>
    </xf>
    <xf numFmtId="49" fontId="4" fillId="0" borderId="38" xfId="20" applyNumberFormat="1" applyFont="1" applyBorder="1">
      <alignment/>
      <protection/>
    </xf>
    <xf numFmtId="49" fontId="4" fillId="0" borderId="40" xfId="20" applyNumberFormat="1" applyFont="1" applyBorder="1">
      <alignment/>
      <protection/>
    </xf>
    <xf numFmtId="0" fontId="4" fillId="0" borderId="8" xfId="0" applyFont="1" applyBorder="1"/>
    <xf numFmtId="49" fontId="6" fillId="2" borderId="30" xfId="0" applyNumberFormat="1" applyFont="1" applyFill="1" applyBorder="1"/>
    <xf numFmtId="0" fontId="0" fillId="0" borderId="0" xfId="20" applyFill="1" applyAlignment="1">
      <alignment vertical="center"/>
      <protection/>
    </xf>
    <xf numFmtId="9" fontId="0" fillId="0" borderId="0" xfId="22" applyFont="1" applyFill="1" applyAlignment="1">
      <alignment vertical="center"/>
    </xf>
    <xf numFmtId="3" fontId="0" fillId="0" borderId="0" xfId="0" applyNumberFormat="1" applyFill="1" applyBorder="1"/>
    <xf numFmtId="3" fontId="20" fillId="0" borderId="0" xfId="0" applyNumberFormat="1" applyFont="1"/>
    <xf numFmtId="0" fontId="1" fillId="0" borderId="0" xfId="20" applyFont="1" applyFill="1" applyAlignment="1">
      <alignment horizontal="center" vertical="center" shrinkToFit="1"/>
      <protection/>
    </xf>
    <xf numFmtId="0" fontId="1" fillId="0" borderId="0" xfId="20" applyFont="1" applyAlignment="1">
      <alignment horizontal="center" vertical="center" shrinkToFit="1"/>
      <protection/>
    </xf>
    <xf numFmtId="0" fontId="1" fillId="0" borderId="0" xfId="20" applyFont="1" applyFill="1" applyAlignment="1">
      <alignment horizontal="center" vertical="center"/>
      <protection/>
    </xf>
    <xf numFmtId="0" fontId="1" fillId="0" borderId="0" xfId="20" applyFont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9" fillId="0" borderId="0" xfId="20" applyFont="1" applyFill="1" applyAlignment="1">
      <alignment horizontal="centerContinuous"/>
      <protection/>
    </xf>
    <xf numFmtId="0" fontId="10" fillId="0" borderId="0" xfId="20" applyFont="1" applyFill="1" applyAlignment="1">
      <alignment horizontal="centerContinuous"/>
      <protection/>
    </xf>
    <xf numFmtId="0" fontId="10" fillId="0" borderId="0" xfId="20" applyFont="1" applyFill="1" applyAlignment="1">
      <alignment horizontal="right"/>
      <protection/>
    </xf>
    <xf numFmtId="49" fontId="1" fillId="0" borderId="38" xfId="20" applyNumberFormat="1" applyFont="1" applyFill="1" applyBorder="1" applyAlignment="1">
      <alignment horizontal="left"/>
      <protection/>
    </xf>
    <xf numFmtId="49" fontId="3" fillId="0" borderId="45" xfId="20" applyNumberFormat="1" applyFont="1" applyFill="1" applyBorder="1" applyAlignment="1">
      <alignment horizontal="left"/>
      <protection/>
    </xf>
    <xf numFmtId="0" fontId="1" fillId="0" borderId="38" xfId="20" applyFont="1" applyFill="1" applyBorder="1">
      <alignment/>
      <protection/>
    </xf>
    <xf numFmtId="0" fontId="3" fillId="0" borderId="46" xfId="20" applyFont="1" applyFill="1" applyBorder="1" applyAlignment="1">
      <alignment horizontal="left"/>
      <protection/>
    </xf>
    <xf numFmtId="0" fontId="1" fillId="0" borderId="39" xfId="20" applyFont="1" applyFill="1" applyBorder="1">
      <alignment/>
      <protection/>
    </xf>
    <xf numFmtId="0" fontId="1" fillId="0" borderId="40" xfId="20" applyFont="1" applyFill="1" applyBorder="1" applyAlignment="1">
      <alignment horizontal="left"/>
      <protection/>
    </xf>
    <xf numFmtId="49" fontId="3" fillId="0" borderId="47" xfId="20" applyNumberFormat="1" applyFont="1" applyFill="1" applyBorder="1" applyAlignment="1">
      <alignment horizontal="left"/>
      <protection/>
    </xf>
    <xf numFmtId="0" fontId="1" fillId="0" borderId="40" xfId="20" applyFont="1" applyFill="1" applyBorder="1">
      <alignment/>
      <protection/>
    </xf>
    <xf numFmtId="0" fontId="3" fillId="0" borderId="0" xfId="20" applyFont="1" applyFill="1">
      <alignment/>
      <protection/>
    </xf>
    <xf numFmtId="0" fontId="1" fillId="0" borderId="0" xfId="20" applyFont="1" applyFill="1" applyAlignment="1">
      <alignment horizontal="right"/>
      <protection/>
    </xf>
    <xf numFmtId="0" fontId="1" fillId="0" borderId="0" xfId="20" applyFont="1" applyFill="1" applyAlignment="1">
      <alignment/>
      <protection/>
    </xf>
    <xf numFmtId="0" fontId="0" fillId="0" borderId="0" xfId="20" applyFill="1" applyAlignment="1">
      <alignment horizontal="center" vertical="center"/>
      <protection/>
    </xf>
    <xf numFmtId="0" fontId="0" fillId="0" borderId="0" xfId="20" applyFill="1" applyAlignment="1">
      <alignment horizontal="center" vertical="center" shrinkToFit="1"/>
      <protection/>
    </xf>
    <xf numFmtId="49" fontId="3" fillId="3" borderId="10" xfId="20" applyNumberFormat="1" applyFont="1" applyFill="1" applyBorder="1">
      <alignment/>
      <protection/>
    </xf>
    <xf numFmtId="0" fontId="3" fillId="3" borderId="8" xfId="20" applyFont="1" applyFill="1" applyBorder="1" applyAlignment="1">
      <alignment horizontal="center"/>
      <protection/>
    </xf>
    <xf numFmtId="0" fontId="3" fillId="3" borderId="8" xfId="20" applyNumberFormat="1" applyFont="1" applyFill="1" applyBorder="1" applyAlignment="1">
      <alignment horizontal="center"/>
      <protection/>
    </xf>
    <xf numFmtId="0" fontId="3" fillId="3" borderId="10" xfId="20" applyFont="1" applyFill="1" applyBorder="1" applyAlignment="1">
      <alignment horizontal="center"/>
      <protection/>
    </xf>
    <xf numFmtId="0" fontId="3" fillId="3" borderId="10" xfId="20" applyFont="1" applyFill="1" applyBorder="1" applyAlignment="1">
      <alignment horizontal="center" vertical="center"/>
      <protection/>
    </xf>
    <xf numFmtId="0" fontId="3" fillId="3" borderId="10" xfId="20" applyFont="1" applyFill="1" applyBorder="1" applyAlignment="1">
      <alignment horizontal="center" vertical="center" shrinkToFit="1"/>
      <protection/>
    </xf>
    <xf numFmtId="0" fontId="1" fillId="3" borderId="0" xfId="20" applyFont="1" applyFill="1">
      <alignment/>
      <protection/>
    </xf>
    <xf numFmtId="0" fontId="12" fillId="0" borderId="0" xfId="20" applyFont="1" applyFill="1">
      <alignment/>
      <protection/>
    </xf>
    <xf numFmtId="0" fontId="14" fillId="0" borderId="0" xfId="20" applyFont="1" applyFill="1">
      <alignment/>
      <protection/>
    </xf>
    <xf numFmtId="0" fontId="7" fillId="0" borderId="0" xfId="20" applyFont="1" applyFill="1" applyBorder="1" applyAlignment="1">
      <alignment vertical="center" wrapText="1"/>
      <protection/>
    </xf>
    <xf numFmtId="0" fontId="7" fillId="0" borderId="0" xfId="20" applyFont="1" applyFill="1" applyAlignment="1">
      <alignment vertical="center" wrapText="1"/>
      <protection/>
    </xf>
    <xf numFmtId="4" fontId="1" fillId="0" borderId="0" xfId="20" applyNumberFormat="1" applyFont="1" applyFill="1">
      <alignment/>
      <protection/>
    </xf>
    <xf numFmtId="167" fontId="1" fillId="0" borderId="0" xfId="20" applyNumberFormat="1" applyFont="1" applyFill="1" applyAlignment="1">
      <alignment horizontal="center" vertical="center" shrinkToFit="1"/>
      <protection/>
    </xf>
    <xf numFmtId="166" fontId="1" fillId="0" borderId="30" xfId="0" applyNumberFormat="1" applyFont="1" applyBorder="1"/>
    <xf numFmtId="166" fontId="1" fillId="0" borderId="48" xfId="0" applyNumberFormat="1" applyFont="1" applyBorder="1"/>
    <xf numFmtId="166" fontId="1" fillId="0" borderId="48" xfId="0" applyNumberFormat="1" applyFont="1" applyFill="1" applyBorder="1"/>
    <xf numFmtId="166" fontId="1" fillId="0" borderId="49" xfId="0" applyNumberFormat="1" applyFont="1" applyBorder="1"/>
    <xf numFmtId="166" fontId="6" fillId="2" borderId="41" xfId="0" applyNumberFormat="1" applyFont="1" applyFill="1" applyBorder="1"/>
    <xf numFmtId="166" fontId="6" fillId="2" borderId="42" xfId="0" applyNumberFormat="1" applyFont="1" applyFill="1" applyBorder="1"/>
    <xf numFmtId="0" fontId="25" fillId="0" borderId="0" xfId="20" applyFont="1" applyFill="1">
      <alignment/>
      <protection/>
    </xf>
    <xf numFmtId="0" fontId="1" fillId="0" borderId="15" xfId="0" applyFont="1" applyFill="1" applyBorder="1"/>
    <xf numFmtId="4" fontId="1" fillId="0" borderId="50" xfId="0" applyNumberFormat="1" applyFont="1" applyFill="1" applyBorder="1"/>
    <xf numFmtId="0" fontId="0" fillId="0" borderId="0" xfId="0" applyFill="1"/>
    <xf numFmtId="0" fontId="1" fillId="0" borderId="7" xfId="0" applyFont="1" applyFill="1" applyBorder="1"/>
    <xf numFmtId="0" fontId="1" fillId="0" borderId="37" xfId="0" applyFont="1" applyFill="1" applyBorder="1"/>
    <xf numFmtId="0" fontId="6" fillId="0" borderId="4" xfId="0" applyFont="1" applyFill="1" applyBorder="1"/>
    <xf numFmtId="0" fontId="1" fillId="0" borderId="31" xfId="0" applyFont="1" applyFill="1" applyBorder="1"/>
    <xf numFmtId="0" fontId="1" fillId="0" borderId="51" xfId="0" applyFont="1" applyFill="1" applyBorder="1"/>
    <xf numFmtId="0" fontId="1" fillId="0" borderId="35" xfId="0" applyFont="1" applyFill="1" applyBorder="1"/>
    <xf numFmtId="0" fontId="5" fillId="0" borderId="26" xfId="0" applyFont="1" applyFill="1" applyBorder="1"/>
    <xf numFmtId="49" fontId="7" fillId="0" borderId="10" xfId="20" applyNumberFormat="1" applyFont="1" applyFill="1" applyBorder="1" applyAlignment="1">
      <alignment horizontal="center" vertical="center" shrinkToFit="1"/>
      <protection/>
    </xf>
    <xf numFmtId="4" fontId="7" fillId="0" borderId="10" xfId="20" applyNumberFormat="1" applyFont="1" applyFill="1" applyBorder="1" applyAlignment="1">
      <alignment horizontal="right" vertical="center"/>
      <protection/>
    </xf>
    <xf numFmtId="4" fontId="7" fillId="0" borderId="10" xfId="20" applyNumberFormat="1" applyFont="1" applyFill="1" applyBorder="1" applyAlignment="1">
      <alignment vertical="center"/>
      <protection/>
    </xf>
    <xf numFmtId="0" fontId="0" fillId="0" borderId="10" xfId="20" applyFill="1" applyBorder="1" applyAlignment="1">
      <alignment horizontal="center" vertical="center"/>
      <protection/>
    </xf>
    <xf numFmtId="0" fontId="0" fillId="0" borderId="10" xfId="20" applyFill="1" applyBorder="1" applyAlignment="1">
      <alignment horizontal="center" vertical="center" shrinkToFit="1"/>
      <protection/>
    </xf>
    <xf numFmtId="0" fontId="19" fillId="0" borderId="10" xfId="20" applyFont="1" applyFill="1" applyBorder="1" applyAlignment="1">
      <alignment vertical="center" wrapText="1"/>
      <protection/>
    </xf>
    <xf numFmtId="0" fontId="7" fillId="0" borderId="10" xfId="20" applyFont="1" applyFill="1" applyBorder="1" applyAlignment="1">
      <alignment vertical="center" wrapText="1"/>
      <protection/>
    </xf>
    <xf numFmtId="167" fontId="7" fillId="0" borderId="10" xfId="20" applyNumberFormat="1" applyFont="1" applyFill="1" applyBorder="1" applyAlignment="1">
      <alignment horizontal="right"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0" fontId="7" fillId="0" borderId="10" xfId="20" applyFont="1" applyFill="1" applyBorder="1" applyAlignment="1">
      <alignment horizontal="center" vertical="center" shrinkToFit="1"/>
      <protection/>
    </xf>
    <xf numFmtId="0" fontId="7" fillId="0" borderId="10" xfId="20" applyFont="1" applyFill="1" applyBorder="1" applyAlignment="1">
      <alignment horizontal="center" vertical="center" wrapText="1" shrinkToFit="1"/>
      <protection/>
    </xf>
    <xf numFmtId="0" fontId="7" fillId="0" borderId="52" xfId="20" applyFont="1" applyFill="1" applyBorder="1" applyAlignment="1">
      <alignment vertical="center" wrapText="1"/>
      <protection/>
    </xf>
    <xf numFmtId="4" fontId="7" fillId="0" borderId="52" xfId="20" applyNumberFormat="1" applyFont="1" applyFill="1" applyBorder="1" applyAlignment="1">
      <alignment horizontal="right" vertical="center"/>
      <protection/>
    </xf>
    <xf numFmtId="4" fontId="7" fillId="0" borderId="52" xfId="20" applyNumberFormat="1" applyFont="1" applyFill="1" applyBorder="1" applyAlignment="1">
      <alignment vertical="center"/>
      <protection/>
    </xf>
    <xf numFmtId="49" fontId="7" fillId="0" borderId="52" xfId="20" applyNumberFormat="1" applyFont="1" applyFill="1" applyBorder="1" applyAlignment="1">
      <alignment horizontal="center" vertical="center" shrinkToFit="1"/>
      <protection/>
    </xf>
    <xf numFmtId="0" fontId="7" fillId="0" borderId="10" xfId="20" applyFont="1" applyFill="1" applyBorder="1" applyAlignment="1">
      <alignment horizontal="center" vertical="center"/>
      <protection/>
    </xf>
    <xf numFmtId="49" fontId="7" fillId="0" borderId="10" xfId="20" applyNumberFormat="1" applyFont="1" applyFill="1" applyBorder="1" applyAlignment="1">
      <alignment horizontal="left" vertical="center"/>
      <protection/>
    </xf>
    <xf numFmtId="4" fontId="13" fillId="0" borderId="10" xfId="20" applyNumberFormat="1" applyFont="1" applyFill="1" applyBorder="1" applyAlignment="1">
      <alignment horizontal="right" vertical="center"/>
      <protection/>
    </xf>
    <xf numFmtId="0" fontId="6" fillId="0" borderId="10" xfId="20" applyFont="1" applyFill="1" applyBorder="1" applyAlignment="1">
      <alignment horizontal="center" vertical="center"/>
      <protection/>
    </xf>
    <xf numFmtId="49" fontId="6" fillId="0" borderId="10" xfId="20" applyNumberFormat="1" applyFont="1" applyFill="1" applyBorder="1" applyAlignment="1">
      <alignment horizontal="left" vertical="center"/>
      <protection/>
    </xf>
    <xf numFmtId="49" fontId="17" fillId="0" borderId="10" xfId="20" applyNumberFormat="1" applyFont="1" applyFill="1" applyBorder="1" applyAlignment="1">
      <alignment horizontal="left" vertical="center"/>
      <protection/>
    </xf>
    <xf numFmtId="0" fontId="6" fillId="0" borderId="10" xfId="20" applyFont="1" applyFill="1" applyBorder="1" applyAlignment="1">
      <alignment vertical="center"/>
      <protection/>
    </xf>
    <xf numFmtId="0" fontId="12" fillId="0" borderId="10" xfId="20" applyFont="1" applyFill="1" applyBorder="1" applyAlignment="1">
      <alignment horizontal="center" vertical="center"/>
      <protection/>
    </xf>
    <xf numFmtId="0" fontId="12" fillId="0" borderId="10" xfId="20" applyNumberFormat="1" applyFont="1" applyFill="1" applyBorder="1" applyAlignment="1">
      <alignment horizontal="right" vertical="center"/>
      <protection/>
    </xf>
    <xf numFmtId="0" fontId="12" fillId="0" borderId="10" xfId="20" applyNumberFormat="1" applyFont="1" applyFill="1" applyBorder="1" applyAlignment="1">
      <alignment vertical="center"/>
      <protection/>
    </xf>
    <xf numFmtId="49" fontId="11" fillId="0" borderId="10" xfId="20" applyNumberFormat="1" applyFont="1" applyFill="1" applyBorder="1" applyAlignment="1">
      <alignment horizontal="left" vertical="center"/>
      <protection/>
    </xf>
    <xf numFmtId="49" fontId="24" fillId="0" borderId="10" xfId="20" applyNumberFormat="1" applyFont="1" applyFill="1" applyBorder="1" applyAlignment="1">
      <alignment horizontal="left" vertical="center"/>
      <protection/>
    </xf>
    <xf numFmtId="0" fontId="11" fillId="0" borderId="10" xfId="20" applyFont="1" applyFill="1" applyBorder="1" applyAlignment="1">
      <alignment vertical="center"/>
      <protection/>
    </xf>
    <xf numFmtId="4" fontId="12" fillId="0" borderId="10" xfId="20" applyNumberFormat="1" applyFont="1" applyFill="1" applyBorder="1" applyAlignment="1">
      <alignment horizontal="right" vertical="center"/>
      <protection/>
    </xf>
    <xf numFmtId="4" fontId="21" fillId="0" borderId="10" xfId="20" applyNumberFormat="1" applyFont="1" applyFill="1" applyBorder="1" applyAlignment="1">
      <alignment horizontal="right" vertical="center"/>
      <protection/>
    </xf>
    <xf numFmtId="4" fontId="6" fillId="0" borderId="10" xfId="20" applyNumberFormat="1" applyFont="1" applyFill="1" applyBorder="1" applyAlignment="1">
      <alignment vertical="center"/>
      <protection/>
    </xf>
    <xf numFmtId="49" fontId="1" fillId="0" borderId="10" xfId="20" applyNumberFormat="1" applyFont="1" applyFill="1" applyBorder="1" applyAlignment="1">
      <alignment horizontal="left" vertical="center"/>
      <protection/>
    </xf>
    <xf numFmtId="49" fontId="13" fillId="0" borderId="10" xfId="20" applyNumberFormat="1" applyFont="1" applyFill="1" applyBorder="1" applyAlignment="1">
      <alignment horizontal="left" vertical="center"/>
      <protection/>
    </xf>
    <xf numFmtId="0" fontId="13" fillId="0" borderId="10" xfId="20" applyFont="1" applyFill="1" applyBorder="1" applyAlignment="1">
      <alignment vertical="center" wrapText="1"/>
      <protection/>
    </xf>
    <xf numFmtId="49" fontId="13" fillId="0" borderId="10" xfId="20" applyNumberFormat="1" applyFont="1" applyFill="1" applyBorder="1" applyAlignment="1">
      <alignment horizontal="center" vertical="center" shrinkToFit="1"/>
      <protection/>
    </xf>
    <xf numFmtId="0" fontId="13" fillId="0" borderId="10" xfId="20" applyFont="1" applyFill="1" applyBorder="1" applyAlignment="1">
      <alignment horizontal="center" vertical="center" shrinkToFit="1"/>
      <protection/>
    </xf>
    <xf numFmtId="49" fontId="7" fillId="0" borderId="10" xfId="20" applyNumberFormat="1" applyFont="1" applyFill="1" applyBorder="1" applyAlignment="1">
      <alignment horizontal="left" vertical="center" wrapText="1"/>
      <protection/>
    </xf>
    <xf numFmtId="0" fontId="1" fillId="0" borderId="10" xfId="20" applyFont="1" applyFill="1" applyBorder="1" applyAlignment="1">
      <alignment horizontal="center" vertical="center"/>
      <protection/>
    </xf>
    <xf numFmtId="4" fontId="1" fillId="0" borderId="10" xfId="20" applyNumberFormat="1" applyFont="1" applyFill="1" applyBorder="1" applyAlignment="1">
      <alignment horizontal="right" vertical="center"/>
      <protection/>
    </xf>
    <xf numFmtId="0" fontId="1" fillId="0" borderId="10" xfId="20" applyNumberFormat="1" applyFont="1" applyFill="1" applyBorder="1" applyAlignment="1">
      <alignment horizontal="right" vertical="center"/>
      <protection/>
    </xf>
    <xf numFmtId="0" fontId="1" fillId="0" borderId="10" xfId="20" applyNumberFormat="1" applyFont="1" applyFill="1" applyBorder="1" applyAlignment="1">
      <alignment vertical="center"/>
      <protection/>
    </xf>
    <xf numFmtId="49" fontId="23" fillId="0" borderId="10" xfId="20" applyNumberFormat="1" applyFont="1" applyFill="1" applyBorder="1" applyAlignment="1">
      <alignment horizontal="left" vertical="center"/>
      <protection/>
    </xf>
    <xf numFmtId="0" fontId="15" fillId="0" borderId="10" xfId="0" applyFont="1" applyFill="1" applyBorder="1" applyAlignment="1">
      <alignment vertical="center"/>
    </xf>
    <xf numFmtId="0" fontId="22" fillId="0" borderId="10" xfId="20" applyNumberFormat="1" applyFont="1" applyFill="1" applyBorder="1" applyAlignment="1">
      <alignment horizontal="center" vertical="center" shrinkToFit="1"/>
      <protection/>
    </xf>
    <xf numFmtId="4" fontId="13" fillId="0" borderId="10" xfId="20" applyNumberFormat="1" applyFont="1" applyFill="1" applyBorder="1" applyAlignment="1">
      <alignment vertical="center"/>
      <protection/>
    </xf>
    <xf numFmtId="0" fontId="0" fillId="0" borderId="10" xfId="20" applyFont="1" applyFill="1" applyBorder="1" applyAlignment="1">
      <alignment horizontal="center" vertical="center"/>
      <protection/>
    </xf>
    <xf numFmtId="0" fontId="0" fillId="0" borderId="10" xfId="20" applyFont="1" applyFill="1" applyBorder="1" applyAlignment="1">
      <alignment horizontal="center" vertical="center" shrinkToFit="1"/>
      <protection/>
    </xf>
    <xf numFmtId="0" fontId="19" fillId="0" borderId="31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center"/>
    </xf>
    <xf numFmtId="0" fontId="0" fillId="0" borderId="10" xfId="20" applyFont="1" applyFill="1" applyBorder="1" applyAlignment="1">
      <alignment horizontal="center" vertical="center"/>
      <protection/>
    </xf>
    <xf numFmtId="0" fontId="0" fillId="0" borderId="10" xfId="20" applyFont="1" applyFill="1" applyBorder="1" applyAlignment="1">
      <alignment horizontal="center" vertical="center" shrinkToFit="1"/>
      <protection/>
    </xf>
    <xf numFmtId="0" fontId="18" fillId="0" borderId="10" xfId="20" applyFont="1" applyFill="1" applyBorder="1" applyAlignment="1">
      <alignment vertical="center" wrapText="1"/>
      <protection/>
    </xf>
    <xf numFmtId="49" fontId="19" fillId="0" borderId="10" xfId="20" applyNumberFormat="1" applyFont="1" applyFill="1" applyBorder="1" applyAlignment="1">
      <alignment horizontal="center" vertical="center" shrinkToFit="1"/>
      <protection/>
    </xf>
    <xf numFmtId="4" fontId="19" fillId="0" borderId="10" xfId="20" applyNumberFormat="1" applyFont="1" applyFill="1" applyBorder="1" applyAlignment="1">
      <alignment horizontal="right" vertical="center"/>
      <protection/>
    </xf>
    <xf numFmtId="49" fontId="16" fillId="0" borderId="10" xfId="20" applyNumberFormat="1" applyFont="1" applyFill="1" applyBorder="1" applyAlignment="1">
      <alignment horizontal="left" vertical="center"/>
      <protection/>
    </xf>
    <xf numFmtId="0" fontId="14" fillId="0" borderId="10" xfId="20" applyFont="1" applyFill="1" applyBorder="1" applyAlignment="1">
      <alignment horizontal="center" vertical="center"/>
      <protection/>
    </xf>
    <xf numFmtId="167" fontId="1" fillId="0" borderId="6" xfId="0" applyNumberFormat="1" applyFont="1" applyBorder="1"/>
    <xf numFmtId="167" fontId="1" fillId="0" borderId="53" xfId="0" applyNumberFormat="1" applyFont="1" applyBorder="1"/>
    <xf numFmtId="0" fontId="7" fillId="0" borderId="10" xfId="20" applyFont="1" applyFill="1" applyBorder="1" applyAlignment="1">
      <alignment horizontal="left" vertical="center" wrapText="1"/>
      <protection/>
    </xf>
    <xf numFmtId="0" fontId="1" fillId="0" borderId="0" xfId="20" applyFont="1" applyFill="1" applyAlignment="1">
      <alignment horizontal="left"/>
      <protection/>
    </xf>
    <xf numFmtId="0" fontId="1" fillId="0" borderId="0" xfId="20" applyFont="1" applyFill="1" applyAlignment="1">
      <alignment horizontal="center"/>
      <protection/>
    </xf>
    <xf numFmtId="0" fontId="1" fillId="0" borderId="37" xfId="0" applyFont="1" applyBorder="1" applyAlignment="1">
      <alignment horizontal="center" shrinkToFit="1"/>
    </xf>
    <xf numFmtId="0" fontId="1" fillId="0" borderId="27" xfId="0" applyFont="1" applyBorder="1" applyAlignment="1">
      <alignment horizontal="center" shrinkToFit="1"/>
    </xf>
    <xf numFmtId="0" fontId="3" fillId="0" borderId="5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167" fontId="1" fillId="0" borderId="54" xfId="0" applyNumberFormat="1" applyFont="1" applyBorder="1" applyAlignment="1">
      <alignment horizontal="right" indent="2"/>
    </xf>
    <xf numFmtId="167" fontId="1" fillId="0" borderId="14" xfId="0" applyNumberFormat="1" applyFont="1" applyBorder="1" applyAlignment="1">
      <alignment horizontal="right" indent="2"/>
    </xf>
    <xf numFmtId="167" fontId="5" fillId="2" borderId="55" xfId="0" applyNumberFormat="1" applyFont="1" applyFill="1" applyBorder="1" applyAlignment="1">
      <alignment horizontal="right" indent="2"/>
    </xf>
    <xf numFmtId="167" fontId="5" fillId="2" borderId="50" xfId="0" applyNumberFormat="1" applyFont="1" applyFill="1" applyBorder="1" applyAlignment="1">
      <alignment horizontal="right" indent="2"/>
    </xf>
    <xf numFmtId="0" fontId="19" fillId="0" borderId="0" xfId="0" applyFont="1" applyAlignment="1">
      <alignment horizontal="left" vertical="top" wrapText="1"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40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6" fillId="2" borderId="26" xfId="0" applyNumberFormat="1" applyFont="1" applyFill="1" applyBorder="1" applyAlignment="1">
      <alignment horizontal="right"/>
    </xf>
    <xf numFmtId="3" fontId="6" fillId="2" borderId="50" xfId="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  <protection/>
    </xf>
    <xf numFmtId="0" fontId="1" fillId="0" borderId="56" xfId="20" applyFont="1" applyFill="1" applyBorder="1" applyAlignment="1">
      <alignment horizontal="center"/>
      <protection/>
    </xf>
    <xf numFmtId="0" fontId="1" fillId="0" borderId="57" xfId="20" applyFont="1" applyFill="1" applyBorder="1" applyAlignment="1">
      <alignment horizontal="center"/>
      <protection/>
    </xf>
    <xf numFmtId="49" fontId="1" fillId="0" borderId="58" xfId="20" applyNumberFormat="1" applyFont="1" applyFill="1" applyBorder="1" applyAlignment="1">
      <alignment horizontal="center"/>
      <protection/>
    </xf>
    <xf numFmtId="0" fontId="1" fillId="0" borderId="59" xfId="20" applyFont="1" applyFill="1" applyBorder="1" applyAlignment="1">
      <alignment horizontal="center"/>
      <protection/>
    </xf>
    <xf numFmtId="0" fontId="1" fillId="0" borderId="61" xfId="20" applyFont="1" applyFill="1" applyBorder="1" applyAlignment="1">
      <alignment horizontal="left" shrinkToFit="1"/>
      <protection/>
    </xf>
    <xf numFmtId="0" fontId="1" fillId="0" borderId="40" xfId="20" applyFont="1" applyFill="1" applyBorder="1" applyAlignment="1">
      <alignment horizontal="left" shrinkToFit="1"/>
      <protection/>
    </xf>
    <xf numFmtId="0" fontId="1" fillId="0" borderId="60" xfId="20" applyFont="1" applyFill="1" applyBorder="1" applyAlignment="1">
      <alignment horizontal="left" shrinkToFit="1"/>
      <protection/>
    </xf>
    <xf numFmtId="0" fontId="0" fillId="0" borderId="56" xfId="20" applyFill="1" applyBorder="1" applyAlignment="1">
      <alignment horizontal="center" vertical="center"/>
      <protection/>
    </xf>
    <xf numFmtId="0" fontId="0" fillId="0" borderId="39" xfId="20" applyFill="1" applyBorder="1" applyAlignment="1">
      <alignment horizontal="center" vertical="center"/>
      <protection/>
    </xf>
    <xf numFmtId="0" fontId="0" fillId="0" borderId="58" xfId="20" applyFill="1" applyBorder="1" applyAlignment="1">
      <alignment horizontal="center" vertical="center"/>
      <protection/>
    </xf>
    <xf numFmtId="0" fontId="0" fillId="0" borderId="60" xfId="20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  <cellStyle name="Procent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51"/>
  <sheetViews>
    <sheetView view="pageBreakPreview" zoomScale="130" zoomScaleSheetLayoutView="130" workbookViewId="0" topLeftCell="A11">
      <selection activeCell="J23" sqref="J23:K23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6.875" style="1" customWidth="1"/>
    <col min="4" max="4" width="14.50390625" style="1" customWidth="1"/>
    <col min="5" max="5" width="18.25390625" style="1" customWidth="1"/>
    <col min="6" max="6" width="16.50390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5" t="s">
        <v>8</v>
      </c>
      <c r="B1" s="6"/>
      <c r="C1" s="6"/>
      <c r="D1" s="6"/>
      <c r="E1" s="6"/>
      <c r="F1" s="6"/>
      <c r="G1" s="6"/>
    </row>
    <row r="2" spans="1:7" ht="12.75" customHeight="1">
      <c r="A2" s="7" t="s">
        <v>9</v>
      </c>
      <c r="B2" s="8"/>
      <c r="C2" s="9" t="s">
        <v>485</v>
      </c>
      <c r="D2" s="9" t="s">
        <v>140</v>
      </c>
      <c r="E2" s="10"/>
      <c r="F2" s="11" t="s">
        <v>10</v>
      </c>
      <c r="G2" s="12"/>
    </row>
    <row r="3" spans="1:7" ht="3" customHeight="1" hidden="1">
      <c r="A3" s="13"/>
      <c r="B3" s="14"/>
      <c r="C3" s="15"/>
      <c r="D3" s="15"/>
      <c r="E3" s="16"/>
      <c r="F3" s="17"/>
      <c r="G3" s="18"/>
    </row>
    <row r="4" spans="1:7" ht="12" customHeight="1">
      <c r="A4" s="19" t="s">
        <v>11</v>
      </c>
      <c r="B4" s="14"/>
      <c r="C4" s="15"/>
      <c r="D4" s="15"/>
      <c r="E4" s="16"/>
      <c r="F4" s="17" t="s">
        <v>12</v>
      </c>
      <c r="G4" s="20"/>
    </row>
    <row r="5" spans="1:7" ht="13" customHeight="1">
      <c r="A5" s="21"/>
      <c r="B5" s="133" t="s">
        <v>484</v>
      </c>
      <c r="C5" s="23"/>
      <c r="D5" s="24"/>
      <c r="E5" s="22"/>
      <c r="F5" s="17" t="s">
        <v>13</v>
      </c>
      <c r="G5" s="18"/>
    </row>
    <row r="6" spans="1:15" ht="13" customHeight="1">
      <c r="A6" s="19" t="s">
        <v>178</v>
      </c>
      <c r="B6" s="139"/>
      <c r="C6" s="15"/>
      <c r="D6" s="15"/>
      <c r="E6" s="16"/>
      <c r="F6" s="25" t="s">
        <v>14</v>
      </c>
      <c r="G6" s="26">
        <v>0</v>
      </c>
      <c r="O6" s="27"/>
    </row>
    <row r="7" spans="1:7" ht="13" customHeight="1">
      <c r="A7" s="28"/>
      <c r="B7" s="140" t="s">
        <v>483</v>
      </c>
      <c r="C7" s="29"/>
      <c r="D7" s="30"/>
      <c r="E7" s="30"/>
      <c r="F7" s="31" t="s">
        <v>15</v>
      </c>
      <c r="G7" s="26">
        <f>IF(G6=0,,ROUND((F30+F32)/G6,1))</f>
        <v>0</v>
      </c>
    </row>
    <row r="8" spans="1:13" ht="12.75">
      <c r="A8" s="32" t="s">
        <v>16</v>
      </c>
      <c r="B8" s="17"/>
      <c r="C8" s="259" t="s">
        <v>135</v>
      </c>
      <c r="D8" s="260"/>
      <c r="E8" s="261"/>
      <c r="F8" s="33" t="s">
        <v>17</v>
      </c>
      <c r="G8" s="34"/>
      <c r="H8" s="35"/>
      <c r="I8" s="36"/>
      <c r="M8" s="1" t="s">
        <v>434</v>
      </c>
    </row>
    <row r="9" spans="1:13" ht="12.75">
      <c r="A9" s="32" t="s">
        <v>18</v>
      </c>
      <c r="B9" s="17"/>
      <c r="C9" s="259" t="s">
        <v>135</v>
      </c>
      <c r="D9" s="260"/>
      <c r="E9" s="261"/>
      <c r="F9" s="17"/>
      <c r="G9" s="37"/>
      <c r="H9" s="38"/>
      <c r="M9" s="1" t="s">
        <v>435</v>
      </c>
    </row>
    <row r="10" spans="1:13" ht="12.75">
      <c r="A10" s="32" t="s">
        <v>19</v>
      </c>
      <c r="B10" s="17"/>
      <c r="C10" s="262"/>
      <c r="D10" s="262"/>
      <c r="E10" s="262"/>
      <c r="F10" s="39"/>
      <c r="G10" s="40"/>
      <c r="H10" s="41"/>
      <c r="M10" s="1" t="s">
        <v>436</v>
      </c>
    </row>
    <row r="11" spans="1:57" ht="13.5" customHeight="1">
      <c r="A11" s="32" t="s">
        <v>20</v>
      </c>
      <c r="B11" s="17"/>
      <c r="C11" s="262"/>
      <c r="D11" s="262"/>
      <c r="E11" s="262"/>
      <c r="F11" s="42" t="s">
        <v>21</v>
      </c>
      <c r="G11" s="43"/>
      <c r="H11" s="38"/>
      <c r="M11" s="1" t="s">
        <v>437</v>
      </c>
      <c r="BA11" s="44"/>
      <c r="BB11" s="44"/>
      <c r="BC11" s="44"/>
      <c r="BD11" s="44"/>
      <c r="BE11" s="44"/>
    </row>
    <row r="12" spans="1:13" ht="12.75" customHeight="1">
      <c r="A12" s="45" t="s">
        <v>22</v>
      </c>
      <c r="B12" s="14"/>
      <c r="C12" s="262" t="s">
        <v>591</v>
      </c>
      <c r="D12" s="262"/>
      <c r="E12" s="262"/>
      <c r="F12" s="46" t="s">
        <v>23</v>
      </c>
      <c r="G12" s="47"/>
      <c r="H12" s="38"/>
      <c r="M12" s="1" t="s">
        <v>438</v>
      </c>
    </row>
    <row r="13" spans="1:13" ht="28.5" customHeight="1" thickBot="1">
      <c r="A13" s="48" t="s">
        <v>24</v>
      </c>
      <c r="B13" s="49"/>
      <c r="C13" s="49"/>
      <c r="D13" s="49"/>
      <c r="E13" s="50"/>
      <c r="F13" s="50"/>
      <c r="G13" s="51"/>
      <c r="H13" s="38"/>
      <c r="M13" s="1" t="s">
        <v>439</v>
      </c>
    </row>
    <row r="14" spans="1:13" ht="17.25" customHeight="1" thickBot="1">
      <c r="A14" s="52" t="s">
        <v>25</v>
      </c>
      <c r="B14" s="53"/>
      <c r="C14" s="54"/>
      <c r="D14" s="55" t="s">
        <v>26</v>
      </c>
      <c r="E14" s="56"/>
      <c r="F14" s="56"/>
      <c r="G14" s="54"/>
      <c r="M14" s="1" t="s">
        <v>440</v>
      </c>
    </row>
    <row r="15" spans="1:7" ht="16" customHeight="1">
      <c r="A15" s="57"/>
      <c r="B15" s="58" t="s">
        <v>27</v>
      </c>
      <c r="C15" s="252">
        <f>' Rekapitulace'!E16</f>
        <v>0</v>
      </c>
      <c r="D15" s="60"/>
      <c r="E15" s="61"/>
      <c r="F15" s="62"/>
      <c r="G15" s="59"/>
    </row>
    <row r="16" spans="1:7" ht="16" customHeight="1">
      <c r="A16" s="57" t="s">
        <v>28</v>
      </c>
      <c r="B16" s="58" t="s">
        <v>29</v>
      </c>
      <c r="C16" s="252">
        <f>' Rekapitulace'!F16</f>
        <v>0</v>
      </c>
      <c r="D16" s="13"/>
      <c r="E16" s="63"/>
      <c r="F16" s="64"/>
      <c r="G16" s="59"/>
    </row>
    <row r="17" spans="1:7" ht="16" customHeight="1">
      <c r="A17" s="57" t="s">
        <v>30</v>
      </c>
      <c r="B17" s="58" t="s">
        <v>31</v>
      </c>
      <c r="C17" s="252">
        <f>' Rekapitulace'!G16</f>
        <v>0</v>
      </c>
      <c r="D17" s="13"/>
      <c r="E17" s="63"/>
      <c r="F17" s="64"/>
      <c r="G17" s="59"/>
    </row>
    <row r="18" spans="1:7" ht="16" customHeight="1">
      <c r="A18" s="65" t="s">
        <v>32</v>
      </c>
      <c r="B18" s="66" t="s">
        <v>33</v>
      </c>
      <c r="C18" s="252"/>
      <c r="D18" s="13"/>
      <c r="E18" s="63"/>
      <c r="F18" s="64"/>
      <c r="G18" s="59"/>
    </row>
    <row r="19" spans="1:7" ht="16" customHeight="1">
      <c r="A19" s="67" t="s">
        <v>34</v>
      </c>
      <c r="B19" s="58"/>
      <c r="C19" s="252">
        <f>C15+C16+C17</f>
        <v>0</v>
      </c>
      <c r="D19" s="13"/>
      <c r="E19" s="63"/>
      <c r="F19" s="64"/>
      <c r="G19" s="59"/>
    </row>
    <row r="20" spans="1:7" ht="16" customHeight="1">
      <c r="A20" s="67"/>
      <c r="B20" s="58"/>
      <c r="C20" s="252"/>
      <c r="D20" s="13"/>
      <c r="E20" s="63"/>
      <c r="F20" s="64"/>
      <c r="G20" s="59"/>
    </row>
    <row r="21" spans="1:7" ht="16" customHeight="1">
      <c r="A21" s="67" t="s">
        <v>7</v>
      </c>
      <c r="B21" s="58"/>
      <c r="C21" s="252">
        <f>' Rekapitulace'!H16</f>
        <v>0</v>
      </c>
      <c r="D21" s="13"/>
      <c r="E21" s="63"/>
      <c r="F21" s="64"/>
      <c r="G21" s="59"/>
    </row>
    <row r="22" spans="1:7" ht="16" customHeight="1">
      <c r="A22" s="68" t="s">
        <v>35</v>
      </c>
      <c r="B22" s="38"/>
      <c r="C22" s="252"/>
      <c r="D22" s="189" t="s">
        <v>36</v>
      </c>
      <c r="E22" s="63"/>
      <c r="F22" s="64"/>
      <c r="G22" s="59"/>
    </row>
    <row r="23" spans="1:7" ht="16" customHeight="1" thickBot="1">
      <c r="A23" s="257" t="s">
        <v>37</v>
      </c>
      <c r="B23" s="258"/>
      <c r="C23" s="253">
        <f>C19+C21</f>
        <v>0</v>
      </c>
      <c r="D23" s="190" t="s">
        <v>38</v>
      </c>
      <c r="E23" s="69"/>
      <c r="F23" s="70"/>
      <c r="G23" s="59">
        <f>' Rekapitulace'!G18</f>
        <v>0</v>
      </c>
    </row>
    <row r="24" spans="1:7" ht="13">
      <c r="A24" s="71" t="s">
        <v>39</v>
      </c>
      <c r="B24" s="72"/>
      <c r="C24" s="73"/>
      <c r="D24" s="191" t="s">
        <v>40</v>
      </c>
      <c r="E24" s="72"/>
      <c r="F24" s="74" t="s">
        <v>41</v>
      </c>
      <c r="G24" s="75"/>
    </row>
    <row r="25" spans="1:7" ht="12.75">
      <c r="A25" s="68" t="s">
        <v>42</v>
      </c>
      <c r="B25" s="38"/>
      <c r="C25" s="76"/>
      <c r="D25" s="81" t="s">
        <v>42</v>
      </c>
      <c r="F25" s="77" t="s">
        <v>42</v>
      </c>
      <c r="G25" s="78"/>
    </row>
    <row r="26" spans="1:7" ht="37.5" customHeight="1">
      <c r="A26" s="68" t="s">
        <v>43</v>
      </c>
      <c r="B26" s="79"/>
      <c r="C26" s="76"/>
      <c r="D26" s="81" t="s">
        <v>43</v>
      </c>
      <c r="F26" s="77" t="s">
        <v>43</v>
      </c>
      <c r="G26" s="78"/>
    </row>
    <row r="27" spans="1:7" ht="12.75">
      <c r="A27" s="68"/>
      <c r="B27" s="80"/>
      <c r="C27" s="76"/>
      <c r="D27" s="81"/>
      <c r="F27" s="77"/>
      <c r="G27" s="78"/>
    </row>
    <row r="28" spans="1:7" ht="12.75">
      <c r="A28" s="68" t="s">
        <v>44</v>
      </c>
      <c r="B28" s="38"/>
      <c r="C28" s="76"/>
      <c r="D28" s="192" t="s">
        <v>45</v>
      </c>
      <c r="E28" s="76"/>
      <c r="F28" s="81" t="s">
        <v>45</v>
      </c>
      <c r="G28" s="78"/>
    </row>
    <row r="29" spans="1:7" ht="69" customHeight="1">
      <c r="A29" s="68"/>
      <c r="B29" s="38"/>
      <c r="C29" s="82"/>
      <c r="D29" s="193"/>
      <c r="E29" s="82"/>
      <c r="F29" s="38"/>
      <c r="G29" s="78"/>
    </row>
    <row r="30" spans="1:7" ht="12.75">
      <c r="A30" s="83" t="s">
        <v>2</v>
      </c>
      <c r="B30" s="84"/>
      <c r="C30" s="85">
        <v>21</v>
      </c>
      <c r="D30" s="194" t="s">
        <v>46</v>
      </c>
      <c r="E30" s="86"/>
      <c r="F30" s="264">
        <f>C23-F32</f>
        <v>0</v>
      </c>
      <c r="G30" s="265"/>
    </row>
    <row r="31" spans="1:7" ht="12.75">
      <c r="A31" s="83" t="s">
        <v>47</v>
      </c>
      <c r="B31" s="84"/>
      <c r="C31" s="85">
        <f>C30</f>
        <v>21</v>
      </c>
      <c r="D31" s="194" t="s">
        <v>48</v>
      </c>
      <c r="E31" s="86"/>
      <c r="F31" s="264">
        <f>ROUND(PRODUCT(F30,C31/100),0)</f>
        <v>0</v>
      </c>
      <c r="G31" s="265"/>
    </row>
    <row r="32" spans="1:7" ht="12.75">
      <c r="A32" s="83" t="s">
        <v>2</v>
      </c>
      <c r="B32" s="84"/>
      <c r="C32" s="85">
        <v>0</v>
      </c>
      <c r="D32" s="194" t="s">
        <v>48</v>
      </c>
      <c r="E32" s="86"/>
      <c r="F32" s="264">
        <v>0</v>
      </c>
      <c r="G32" s="265"/>
    </row>
    <row r="33" spans="1:7" ht="12.75">
      <c r="A33" s="83" t="s">
        <v>47</v>
      </c>
      <c r="B33" s="87"/>
      <c r="C33" s="88">
        <f>C32</f>
        <v>0</v>
      </c>
      <c r="D33" s="194" t="s">
        <v>48</v>
      </c>
      <c r="E33" s="64"/>
      <c r="F33" s="264">
        <f>ROUND(PRODUCT(F32,C33/100),0)</f>
        <v>0</v>
      </c>
      <c r="G33" s="265"/>
    </row>
    <row r="34" spans="1:7" s="92" customFormat="1" ht="19.5" customHeight="1" thickBot="1">
      <c r="A34" s="89" t="s">
        <v>49</v>
      </c>
      <c r="B34" s="90"/>
      <c r="C34" s="90"/>
      <c r="D34" s="195"/>
      <c r="E34" s="91"/>
      <c r="F34" s="266">
        <f>ROUND(SUM(F30:F33),0)</f>
        <v>0</v>
      </c>
      <c r="G34" s="267"/>
    </row>
    <row r="36" spans="1:8" ht="12.75">
      <c r="A36" s="2" t="s">
        <v>50</v>
      </c>
      <c r="B36" s="2"/>
      <c r="C36" s="2"/>
      <c r="D36" s="2"/>
      <c r="E36" s="2"/>
      <c r="F36" s="2"/>
      <c r="G36" s="2"/>
      <c r="H36" s="1" t="s">
        <v>0</v>
      </c>
    </row>
    <row r="37" spans="1:8" ht="14.25" customHeight="1">
      <c r="A37" s="2"/>
      <c r="B37" s="268" t="s">
        <v>158</v>
      </c>
      <c r="C37" s="268"/>
      <c r="D37" s="268"/>
      <c r="E37" s="268"/>
      <c r="F37" s="268"/>
      <c r="G37" s="268"/>
      <c r="H37" s="1" t="s">
        <v>0</v>
      </c>
    </row>
    <row r="38" spans="1:8" ht="12.75" customHeight="1">
      <c r="A38" s="93"/>
      <c r="B38" s="268"/>
      <c r="C38" s="268"/>
      <c r="D38" s="268"/>
      <c r="E38" s="268"/>
      <c r="F38" s="268"/>
      <c r="G38" s="268"/>
      <c r="H38" s="1" t="s">
        <v>0</v>
      </c>
    </row>
    <row r="39" spans="1:8" ht="12.75">
      <c r="A39" s="93"/>
      <c r="B39" s="268"/>
      <c r="C39" s="268"/>
      <c r="D39" s="268"/>
      <c r="E39" s="268"/>
      <c r="F39" s="268"/>
      <c r="G39" s="268"/>
      <c r="H39" s="1" t="s">
        <v>0</v>
      </c>
    </row>
    <row r="40" spans="1:8" ht="12.75">
      <c r="A40" s="93"/>
      <c r="B40" s="268"/>
      <c r="C40" s="268"/>
      <c r="D40" s="268"/>
      <c r="E40" s="268"/>
      <c r="F40" s="268"/>
      <c r="G40" s="268"/>
      <c r="H40" s="1" t="s">
        <v>0</v>
      </c>
    </row>
    <row r="41" spans="1:8" ht="12.75">
      <c r="A41" s="93"/>
      <c r="B41" s="268"/>
      <c r="C41" s="268"/>
      <c r="D41" s="268"/>
      <c r="E41" s="268"/>
      <c r="F41" s="268"/>
      <c r="G41" s="268"/>
      <c r="H41" s="1" t="s">
        <v>0</v>
      </c>
    </row>
    <row r="42" spans="1:8" ht="12.75">
      <c r="A42" s="93"/>
      <c r="B42" s="268"/>
      <c r="C42" s="268"/>
      <c r="D42" s="268"/>
      <c r="E42" s="268"/>
      <c r="F42" s="268"/>
      <c r="G42" s="268"/>
      <c r="H42" s="1" t="s">
        <v>0</v>
      </c>
    </row>
    <row r="43" spans="1:8" ht="12.75">
      <c r="A43" s="93"/>
      <c r="B43" s="268"/>
      <c r="C43" s="268"/>
      <c r="D43" s="268"/>
      <c r="E43" s="268"/>
      <c r="F43" s="268"/>
      <c r="G43" s="268"/>
      <c r="H43" s="1" t="s">
        <v>0</v>
      </c>
    </row>
    <row r="44" spans="1:8" ht="12.75" customHeight="1">
      <c r="A44" s="93"/>
      <c r="B44" s="268"/>
      <c r="C44" s="268"/>
      <c r="D44" s="268"/>
      <c r="E44" s="268"/>
      <c r="F44" s="268"/>
      <c r="G44" s="268"/>
      <c r="H44" s="1" t="s">
        <v>0</v>
      </c>
    </row>
    <row r="45" spans="1:8" ht="12.75" customHeight="1">
      <c r="A45" s="93"/>
      <c r="B45" s="268"/>
      <c r="C45" s="268"/>
      <c r="D45" s="268"/>
      <c r="E45" s="268"/>
      <c r="F45" s="268"/>
      <c r="G45" s="268"/>
      <c r="H45" s="1" t="s">
        <v>0</v>
      </c>
    </row>
    <row r="46" spans="2:7" ht="12.75">
      <c r="B46" s="268"/>
      <c r="C46" s="268"/>
      <c r="D46" s="268"/>
      <c r="E46" s="268"/>
      <c r="F46" s="268"/>
      <c r="G46" s="268"/>
    </row>
    <row r="47" spans="2:7" ht="12.75">
      <c r="B47" s="263"/>
      <c r="C47" s="263"/>
      <c r="D47" s="263"/>
      <c r="E47" s="263"/>
      <c r="F47" s="263"/>
      <c r="G47" s="263"/>
    </row>
    <row r="48" spans="2:7" ht="12.75">
      <c r="B48" s="263"/>
      <c r="C48" s="263"/>
      <c r="D48" s="263"/>
      <c r="E48" s="263"/>
      <c r="F48" s="263"/>
      <c r="G48" s="263"/>
    </row>
    <row r="49" spans="2:7" ht="12.75">
      <c r="B49" s="263"/>
      <c r="C49" s="263"/>
      <c r="D49" s="263"/>
      <c r="E49" s="263"/>
      <c r="F49" s="263"/>
      <c r="G49" s="263"/>
    </row>
    <row r="50" spans="2:7" ht="12.75">
      <c r="B50" s="263"/>
      <c r="C50" s="263"/>
      <c r="D50" s="263"/>
      <c r="E50" s="263"/>
      <c r="F50" s="263"/>
      <c r="G50" s="263"/>
    </row>
    <row r="51" spans="2:7" ht="12.75">
      <c r="B51" s="263"/>
      <c r="C51" s="263"/>
      <c r="D51" s="263"/>
      <c r="E51" s="263"/>
      <c r="F51" s="263"/>
      <c r="G51" s="263"/>
    </row>
  </sheetData>
  <mergeCells count="17">
    <mergeCell ref="B51:G51"/>
    <mergeCell ref="F30:G30"/>
    <mergeCell ref="F31:G31"/>
    <mergeCell ref="F32:G32"/>
    <mergeCell ref="F33:G33"/>
    <mergeCell ref="F34:G34"/>
    <mergeCell ref="B47:G47"/>
    <mergeCell ref="B48:G48"/>
    <mergeCell ref="B49:G49"/>
    <mergeCell ref="B50:G50"/>
    <mergeCell ref="B37:G46"/>
    <mergeCell ref="A23:B23"/>
    <mergeCell ref="C8:E8"/>
    <mergeCell ref="C9:E9"/>
    <mergeCell ref="C10:E10"/>
    <mergeCell ref="C11:E11"/>
    <mergeCell ref="C12:E12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portrait" paperSize="9" scale="97" r:id="rId1"/>
  <headerFooter alignWithMargins="0">
    <oddFooter>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44"/>
  <sheetViews>
    <sheetView view="pageBreakPreview" zoomScale="130" zoomScaleSheetLayoutView="130" workbookViewId="0" topLeftCell="A2">
      <selection activeCell="F14" sqref="F14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5.50390625" style="1" customWidth="1"/>
    <col min="4" max="4" width="7.00390625" style="1" customWidth="1"/>
    <col min="5" max="5" width="9.50390625" style="1" bestFit="1" customWidth="1"/>
    <col min="6" max="6" width="13.125" style="1" bestFit="1" customWidth="1"/>
    <col min="7" max="7" width="11.875" style="1" customWidth="1"/>
    <col min="8" max="8" width="11.00390625" style="1" bestFit="1" customWidth="1"/>
    <col min="9" max="11" width="10.125" style="1" bestFit="1" customWidth="1"/>
    <col min="12" max="16384" width="9.125" style="1" customWidth="1"/>
  </cols>
  <sheetData>
    <row r="1" spans="1:8" ht="13" thickTop="1">
      <c r="A1" s="269" t="s">
        <v>179</v>
      </c>
      <c r="B1" s="270"/>
      <c r="C1" s="137" t="str">
        <f>'Kompletní List'!B7</f>
        <v>PAVILON FTZ V AREÁLU ČZU</v>
      </c>
      <c r="D1" s="94"/>
      <c r="E1" s="95"/>
      <c r="F1" s="94"/>
      <c r="G1" s="96" t="str">
        <f>'Kompletní List'!C2</f>
        <v>D1-02-07/002</v>
      </c>
      <c r="H1" s="97"/>
    </row>
    <row r="2" spans="1:8" ht="13" thickBot="1">
      <c r="A2" s="271" t="s">
        <v>51</v>
      </c>
      <c r="B2" s="272"/>
      <c r="C2" s="138" t="str">
        <f>'Kompletní List'!B5</f>
        <v>SO 02 Novostavba pavilonu FTZ</v>
      </c>
      <c r="D2" s="98"/>
      <c r="E2" s="99"/>
      <c r="F2" s="98"/>
      <c r="G2" s="273"/>
      <c r="H2" s="274"/>
    </row>
    <row r="3" ht="13" thickTop="1">
      <c r="F3" s="38"/>
    </row>
    <row r="4" spans="1:11" ht="19.5" customHeight="1">
      <c r="A4" s="100" t="s">
        <v>52</v>
      </c>
      <c r="B4" s="101"/>
      <c r="C4" s="101"/>
      <c r="D4" s="101"/>
      <c r="E4" s="102"/>
      <c r="F4" s="101"/>
      <c r="G4" s="101"/>
      <c r="H4" s="101"/>
      <c r="K4" s="141" t="s">
        <v>6</v>
      </c>
    </row>
    <row r="5" spans="1:11" ht="13">
      <c r="A5" s="134"/>
      <c r="B5" s="134"/>
      <c r="C5" s="134"/>
      <c r="D5" s="135"/>
      <c r="E5" s="135"/>
      <c r="F5" s="135"/>
      <c r="G5" s="135"/>
      <c r="H5" s="135"/>
      <c r="K5" s="142">
        <v>0.16</v>
      </c>
    </row>
    <row r="6" spans="1:8" ht="13.5" thickBot="1">
      <c r="A6" s="134" t="s">
        <v>139</v>
      </c>
      <c r="B6" s="134"/>
      <c r="C6" s="134"/>
      <c r="D6" s="135"/>
      <c r="E6" s="135"/>
      <c r="F6" s="135"/>
      <c r="G6" s="135"/>
      <c r="H6" s="135"/>
    </row>
    <row r="7" spans="1:8" ht="13.5" thickBot="1">
      <c r="A7" s="103"/>
      <c r="B7" s="104" t="s">
        <v>53</v>
      </c>
      <c r="C7" s="104"/>
      <c r="D7" s="105"/>
      <c r="E7" s="106" t="s">
        <v>4</v>
      </c>
      <c r="F7" s="107" t="s">
        <v>5</v>
      </c>
      <c r="G7" s="107" t="s">
        <v>6</v>
      </c>
      <c r="H7" s="108" t="s">
        <v>7</v>
      </c>
    </row>
    <row r="8" spans="1:11" ht="12.75">
      <c r="A8" s="132" t="s">
        <v>73</v>
      </c>
      <c r="B8" s="4" t="s">
        <v>74</v>
      </c>
      <c r="C8" s="38"/>
      <c r="D8" s="109"/>
      <c r="E8" s="179">
        <f>Položky!H38</f>
        <v>0</v>
      </c>
      <c r="F8" s="180">
        <f>Položky!H39-E8-MONT.713-H8</f>
        <v>0</v>
      </c>
      <c r="G8" s="181">
        <f>Položky!H37</f>
        <v>0</v>
      </c>
      <c r="H8" s="182"/>
      <c r="I8" s="143">
        <f>E8+F8+MONT.713+H8</f>
        <v>0</v>
      </c>
      <c r="J8" s="143"/>
      <c r="K8" s="44"/>
    </row>
    <row r="9" spans="1:11" ht="12.75">
      <c r="A9" s="132" t="s">
        <v>88</v>
      </c>
      <c r="B9" s="4" t="s">
        <v>136</v>
      </c>
      <c r="C9" s="38"/>
      <c r="D9" s="109"/>
      <c r="E9" s="179">
        <f>Položky!H48</f>
        <v>0</v>
      </c>
      <c r="F9" s="180">
        <f>Položky!H49-E9-MONT.731-H9</f>
        <v>0</v>
      </c>
      <c r="G9" s="181">
        <f>Položky!H46</f>
        <v>0</v>
      </c>
      <c r="H9" s="182">
        <f>Položky!H47</f>
        <v>0</v>
      </c>
      <c r="I9" s="143">
        <f>E9+F9+MONT.731+H9</f>
        <v>0</v>
      </c>
      <c r="J9" s="143"/>
      <c r="K9" s="44"/>
    </row>
    <row r="10" spans="1:11" ht="12.75">
      <c r="A10" s="132" t="s">
        <v>89</v>
      </c>
      <c r="B10" s="4" t="s">
        <v>90</v>
      </c>
      <c r="C10" s="38"/>
      <c r="D10" s="109"/>
      <c r="E10" s="179">
        <f>Položky!H87</f>
        <v>0</v>
      </c>
      <c r="F10" s="180">
        <f>Položky!H88-E10-mont.732-H10</f>
        <v>0</v>
      </c>
      <c r="G10" s="181">
        <f>Položky!H85</f>
        <v>0</v>
      </c>
      <c r="H10" s="182">
        <f>Položky!H86</f>
        <v>0</v>
      </c>
      <c r="I10" s="143">
        <f aca="true" t="shared" si="0" ref="I10:I16">SUM(E10:H10)</f>
        <v>0</v>
      </c>
      <c r="J10" s="143"/>
      <c r="K10" s="44"/>
    </row>
    <row r="11" spans="1:11" ht="12.75">
      <c r="A11" s="132" t="s">
        <v>94</v>
      </c>
      <c r="B11" s="4" t="s">
        <v>95</v>
      </c>
      <c r="C11" s="38"/>
      <c r="D11" s="109"/>
      <c r="E11" s="179">
        <f>Položky!H117</f>
        <v>0</v>
      </c>
      <c r="F11" s="180">
        <f>Položky!H118-E11-mont.733-H11</f>
        <v>0</v>
      </c>
      <c r="G11" s="181">
        <f>Položky!H115</f>
        <v>0</v>
      </c>
      <c r="H11" s="182">
        <f>Položky!H116</f>
        <v>0</v>
      </c>
      <c r="I11" s="143">
        <f t="shared" si="0"/>
        <v>0</v>
      </c>
      <c r="J11" s="143"/>
      <c r="K11" s="44"/>
    </row>
    <row r="12" spans="1:11" ht="12.75">
      <c r="A12" s="132" t="s">
        <v>97</v>
      </c>
      <c r="B12" s="4" t="s">
        <v>98</v>
      </c>
      <c r="C12" s="38"/>
      <c r="D12" s="109"/>
      <c r="E12" s="179">
        <f>Položky!H277</f>
        <v>0</v>
      </c>
      <c r="F12" s="180">
        <f>Položky!H278-E12-H12-mont.734</f>
        <v>0</v>
      </c>
      <c r="G12" s="181">
        <f>Položky!H276</f>
        <v>0</v>
      </c>
      <c r="H12" s="182"/>
      <c r="I12" s="143">
        <f t="shared" si="0"/>
        <v>0</v>
      </c>
      <c r="J12" s="143"/>
      <c r="K12" s="44"/>
    </row>
    <row r="13" spans="1:11" ht="12.75">
      <c r="A13" s="132" t="s">
        <v>77</v>
      </c>
      <c r="B13" s="4" t="s">
        <v>78</v>
      </c>
      <c r="C13" s="38"/>
      <c r="D13" s="109"/>
      <c r="E13" s="179">
        <f>Položky!H285</f>
        <v>0</v>
      </c>
      <c r="F13" s="180">
        <f>Položky!H286-E13-mont.767-H13</f>
        <v>0</v>
      </c>
      <c r="G13" s="181"/>
      <c r="H13" s="182"/>
      <c r="I13" s="143">
        <f t="shared" si="0"/>
        <v>0</v>
      </c>
      <c r="J13" s="143"/>
      <c r="K13" s="44"/>
    </row>
    <row r="14" spans="1:11" ht="12.75">
      <c r="A14" s="132" t="s">
        <v>113</v>
      </c>
      <c r="B14" s="4" t="s">
        <v>114</v>
      </c>
      <c r="C14" s="38"/>
      <c r="D14" s="109"/>
      <c r="E14" s="179"/>
      <c r="F14" s="180">
        <f>Položky!H291</f>
        <v>0</v>
      </c>
      <c r="G14" s="181"/>
      <c r="H14" s="182"/>
      <c r="I14" s="143">
        <f t="shared" si="0"/>
        <v>0</v>
      </c>
      <c r="J14" s="143"/>
      <c r="K14" s="44"/>
    </row>
    <row r="15" spans="1:11" ht="13" thickBot="1">
      <c r="A15" s="132" t="s">
        <v>82</v>
      </c>
      <c r="B15" s="4" t="s">
        <v>83</v>
      </c>
      <c r="C15" s="38"/>
      <c r="D15" s="109"/>
      <c r="E15" s="179"/>
      <c r="F15" s="180">
        <f>Položky!H319</f>
        <v>0</v>
      </c>
      <c r="G15" s="180"/>
      <c r="H15" s="182"/>
      <c r="I15" s="143">
        <f t="shared" si="0"/>
        <v>0</v>
      </c>
      <c r="J15" s="143">
        <f>SUM(I8:I15)</f>
        <v>0</v>
      </c>
      <c r="K15" s="44"/>
    </row>
    <row r="16" spans="1:11" ht="13.5" thickBot="1">
      <c r="A16" s="110"/>
      <c r="B16" s="111" t="s">
        <v>54</v>
      </c>
      <c r="C16" s="111"/>
      <c r="D16" s="112"/>
      <c r="E16" s="183">
        <f>SUM(E8:E15)</f>
        <v>0</v>
      </c>
      <c r="F16" s="184">
        <f>SUM(F8:F15)</f>
        <v>0</v>
      </c>
      <c r="G16" s="184">
        <f>SUM(G8:G15)</f>
        <v>0</v>
      </c>
      <c r="H16" s="184">
        <f>SUM(H8:H15)</f>
        <v>0</v>
      </c>
      <c r="I16" s="144">
        <f t="shared" si="0"/>
        <v>0</v>
      </c>
      <c r="J16" s="144"/>
      <c r="K16" s="44"/>
    </row>
    <row r="17" spans="1:42" ht="12.75">
      <c r="A17" s="38"/>
      <c r="B17" s="38"/>
      <c r="C17" s="38"/>
      <c r="D17" s="38"/>
      <c r="E17" s="38"/>
      <c r="F17" s="38"/>
      <c r="G17" s="38"/>
      <c r="H17" s="38"/>
      <c r="AP17" s="1">
        <v>2</v>
      </c>
    </row>
    <row r="18" spans="1:9" ht="18">
      <c r="A18" s="101" t="s">
        <v>55</v>
      </c>
      <c r="B18" s="101"/>
      <c r="C18" s="101"/>
      <c r="D18" s="101"/>
      <c r="E18" s="101"/>
      <c r="F18" s="101"/>
      <c r="G18" s="101"/>
      <c r="H18" s="101"/>
      <c r="I18" s="44"/>
    </row>
    <row r="19" ht="13" thickBot="1"/>
    <row r="20" spans="1:8" ht="13">
      <c r="A20" s="71" t="s">
        <v>56</v>
      </c>
      <c r="B20" s="72"/>
      <c r="C20" s="72"/>
      <c r="D20" s="113"/>
      <c r="E20" s="114" t="s">
        <v>57</v>
      </c>
      <c r="F20" s="115" t="s">
        <v>3</v>
      </c>
      <c r="G20" s="116"/>
      <c r="H20" s="117" t="s">
        <v>57</v>
      </c>
    </row>
    <row r="21" spans="1:8" ht="12.75">
      <c r="A21" s="67" t="s">
        <v>68</v>
      </c>
      <c r="B21" s="58"/>
      <c r="C21" s="58"/>
      <c r="D21" s="118"/>
      <c r="E21" s="119">
        <v>0</v>
      </c>
      <c r="F21" s="120">
        <v>0.3</v>
      </c>
      <c r="G21" s="121"/>
      <c r="H21" s="122"/>
    </row>
    <row r="22" spans="1:8" ht="12.75">
      <c r="A22" s="67" t="s">
        <v>69</v>
      </c>
      <c r="B22" s="58"/>
      <c r="C22" s="58"/>
      <c r="D22" s="186"/>
      <c r="E22" s="119">
        <v>0</v>
      </c>
      <c r="F22" s="120">
        <v>0.3</v>
      </c>
      <c r="G22" s="121"/>
      <c r="H22" s="122"/>
    </row>
    <row r="23" spans="1:8" ht="13.5" thickBot="1">
      <c r="A23" s="123"/>
      <c r="B23" s="124" t="s">
        <v>58</v>
      </c>
      <c r="C23" s="125"/>
      <c r="D23" s="187"/>
      <c r="E23" s="126"/>
      <c r="F23" s="127"/>
      <c r="G23" s="275">
        <f>SUM(H21:H22)</f>
        <v>0</v>
      </c>
      <c r="H23" s="276"/>
    </row>
    <row r="24" spans="1:8" ht="12.75">
      <c r="A24"/>
      <c r="B24"/>
      <c r="C24"/>
      <c r="D24" s="188"/>
      <c r="E24"/>
      <c r="F24"/>
      <c r="G24"/>
      <c r="H24"/>
    </row>
    <row r="25" spans="4:8" ht="12.75">
      <c r="D25" s="27"/>
      <c r="F25" s="128"/>
      <c r="G25" s="129"/>
      <c r="H25" s="3"/>
    </row>
    <row r="26" spans="4:8" ht="12.75">
      <c r="D26" s="27"/>
      <c r="F26" s="128"/>
      <c r="G26" s="129"/>
      <c r="H26" s="3"/>
    </row>
    <row r="27" spans="4:8" ht="12.75">
      <c r="D27" s="27"/>
      <c r="F27" s="128"/>
      <c r="G27" s="129"/>
      <c r="H27" s="3"/>
    </row>
    <row r="28" spans="4:8" ht="12.75">
      <c r="D28" s="27"/>
      <c r="F28" s="128"/>
      <c r="G28" s="129"/>
      <c r="H28" s="3"/>
    </row>
    <row r="29" spans="4:8" ht="12.75">
      <c r="D29" s="27"/>
      <c r="F29" s="128"/>
      <c r="G29" s="129"/>
      <c r="H29" s="3"/>
    </row>
    <row r="30" spans="4:8" ht="12.75">
      <c r="D30" s="27"/>
      <c r="F30" s="128"/>
      <c r="G30" s="129"/>
      <c r="H30" s="3"/>
    </row>
    <row r="31" spans="4:8" ht="12.75">
      <c r="D31" s="27"/>
      <c r="F31" s="128"/>
      <c r="G31" s="129"/>
      <c r="H31" s="3"/>
    </row>
    <row r="32" spans="4:8" ht="12.75">
      <c r="D32" s="27"/>
      <c r="F32" s="128"/>
      <c r="G32" s="129"/>
      <c r="H32" s="3"/>
    </row>
    <row r="33" spans="4:8" ht="12.75">
      <c r="D33" s="27"/>
      <c r="F33" s="128"/>
      <c r="G33" s="129"/>
      <c r="H33" s="3"/>
    </row>
    <row r="34" spans="4:8" ht="12.75">
      <c r="D34" s="27"/>
      <c r="F34" s="128"/>
      <c r="G34" s="129"/>
      <c r="H34" s="3"/>
    </row>
    <row r="35" spans="6:8" ht="12.75">
      <c r="F35" s="128"/>
      <c r="G35" s="129"/>
      <c r="H35" s="3"/>
    </row>
    <row r="36" spans="6:8" ht="12.75">
      <c r="F36" s="128"/>
      <c r="G36" s="129"/>
      <c r="H36" s="3"/>
    </row>
    <row r="37" spans="6:8" ht="12.75">
      <c r="F37" s="128"/>
      <c r="G37" s="129"/>
      <c r="H37" s="3"/>
    </row>
    <row r="38" spans="6:8" ht="12.75">
      <c r="F38" s="128"/>
      <c r="G38" s="129"/>
      <c r="H38" s="3"/>
    </row>
    <row r="39" spans="6:8" ht="12.75">
      <c r="F39" s="128"/>
      <c r="G39" s="129"/>
      <c r="H39" s="3"/>
    </row>
    <row r="40" spans="6:8" ht="12.75">
      <c r="F40" s="128"/>
      <c r="G40" s="129"/>
      <c r="H40" s="3"/>
    </row>
    <row r="41" spans="6:8" ht="12.75">
      <c r="F41" s="128"/>
      <c r="G41" s="129"/>
      <c r="H41" s="3"/>
    </row>
    <row r="42" spans="6:8" ht="12.75">
      <c r="F42" s="128"/>
      <c r="G42" s="129"/>
      <c r="H42" s="3"/>
    </row>
    <row r="43" spans="6:8" ht="12.75">
      <c r="F43" s="128"/>
      <c r="G43" s="129"/>
      <c r="H43" s="3"/>
    </row>
    <row r="44" spans="6:8" ht="12.75">
      <c r="F44" s="128"/>
      <c r="G44" s="129"/>
      <c r="H44" s="3"/>
    </row>
  </sheetData>
  <mergeCells count="4">
    <mergeCell ref="A1:B1"/>
    <mergeCell ref="A2:B2"/>
    <mergeCell ref="G2:H2"/>
    <mergeCell ref="G23:H23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portrait" paperSize="9" r:id="rId1"/>
  <headerFooter alignWithMargins="0"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24"/>
  <sheetViews>
    <sheetView showGridLines="0" showZeros="0" tabSelected="1" view="pageBreakPreview" zoomScale="85" zoomScaleSheetLayoutView="85" workbookViewId="0" topLeftCell="A1">
      <pane ySplit="6" topLeftCell="A75" activePane="bottomLeft" state="frozen"/>
      <selection pane="topLeft" activeCell="J23" sqref="J23:K23"/>
      <selection pane="bottomLeft" activeCell="G85" sqref="G85"/>
    </sheetView>
  </sheetViews>
  <sheetFormatPr defaultColWidth="9.125" defaultRowHeight="12.75"/>
  <cols>
    <col min="1" max="1" width="4.50390625" style="130" customWidth="1"/>
    <col min="2" max="2" width="14.75390625" style="130" customWidth="1"/>
    <col min="3" max="3" width="9.875" style="130" hidden="1" customWidth="1"/>
    <col min="4" max="4" width="72.50390625" style="130" customWidth="1"/>
    <col min="5" max="5" width="5.50390625" style="130" customWidth="1"/>
    <col min="6" max="6" width="8.50390625" style="131" customWidth="1"/>
    <col min="7" max="7" width="11.875" style="130" customWidth="1"/>
    <col min="8" max="8" width="13.875" style="130" customWidth="1"/>
    <col min="9" max="9" width="11.75390625" style="148" customWidth="1"/>
    <col min="10" max="10" width="11.50390625" style="146" customWidth="1"/>
    <col min="11" max="11" width="9.125" style="130" customWidth="1"/>
    <col min="12" max="12" width="15.50390625" style="130" customWidth="1"/>
    <col min="13" max="13" width="14.50390625" style="130" customWidth="1"/>
    <col min="14" max="14" width="13.875" style="130" customWidth="1"/>
    <col min="15" max="15" width="9.50390625" style="130" customWidth="1"/>
    <col min="16" max="16" width="12.50390625" style="130" customWidth="1"/>
    <col min="17" max="17" width="18.50390625" style="130" customWidth="1"/>
    <col min="18" max="18" width="10.875" style="130" customWidth="1"/>
    <col min="19" max="19" width="9.25390625" style="130" customWidth="1"/>
    <col min="20" max="16384" width="9.125" style="130" customWidth="1"/>
  </cols>
  <sheetData>
    <row r="1" spans="1:10" s="136" customFormat="1" ht="15.5">
      <c r="A1" s="277" t="s">
        <v>615</v>
      </c>
      <c r="B1" s="277"/>
      <c r="C1" s="277"/>
      <c r="D1" s="277"/>
      <c r="E1" s="277"/>
      <c r="F1" s="277"/>
      <c r="G1" s="277"/>
      <c r="H1" s="277"/>
      <c r="I1" s="147"/>
      <c r="J1" s="145"/>
    </row>
    <row r="2" spans="2:10" s="136" customFormat="1" ht="14.25" customHeight="1" thickBot="1">
      <c r="B2" s="150"/>
      <c r="C2" s="150"/>
      <c r="D2" s="151"/>
      <c r="E2" s="151"/>
      <c r="F2" s="152"/>
      <c r="G2" s="151"/>
      <c r="H2" s="151"/>
      <c r="I2" s="147"/>
      <c r="J2" s="145"/>
    </row>
    <row r="3" spans="1:10" s="136" customFormat="1" ht="13" thickTop="1">
      <c r="A3" s="278" t="s">
        <v>1</v>
      </c>
      <c r="B3" s="279"/>
      <c r="C3" s="153"/>
      <c r="D3" s="154" t="str">
        <f>' Rekapitulace'!C1</f>
        <v>PAVILON FTZ V AREÁLU ČZU</v>
      </c>
      <c r="E3" s="155"/>
      <c r="F3" s="156" t="s">
        <v>155</v>
      </c>
      <c r="G3" s="153" t="str">
        <f>' Rekapitulace'!G1</f>
        <v>D1-02-07/002</v>
      </c>
      <c r="H3" s="157"/>
      <c r="I3" s="285" t="s">
        <v>184</v>
      </c>
      <c r="J3" s="286"/>
    </row>
    <row r="4" spans="1:10" s="136" customFormat="1" ht="13" thickBot="1">
      <c r="A4" s="280" t="s">
        <v>51</v>
      </c>
      <c r="B4" s="281"/>
      <c r="C4" s="158"/>
      <c r="D4" s="159" t="str">
        <f>' Rekapitulace'!C2</f>
        <v>SO 02 Novostavba pavilonu FTZ</v>
      </c>
      <c r="E4" s="160"/>
      <c r="F4" s="282" t="s">
        <v>180</v>
      </c>
      <c r="G4" s="283"/>
      <c r="H4" s="284"/>
      <c r="I4" s="287"/>
      <c r="J4" s="288"/>
    </row>
    <row r="5" spans="1:10" s="136" customFormat="1" ht="13" thickTop="1">
      <c r="A5" s="161"/>
      <c r="F5" s="162"/>
      <c r="H5" s="163"/>
      <c r="I5" s="164"/>
      <c r="J5" s="165"/>
    </row>
    <row r="6" spans="1:10" s="172" customFormat="1" ht="27" customHeight="1">
      <c r="A6" s="166" t="s">
        <v>59</v>
      </c>
      <c r="B6" s="167" t="s">
        <v>60</v>
      </c>
      <c r="C6" s="167" t="s">
        <v>138</v>
      </c>
      <c r="D6" s="167" t="s">
        <v>61</v>
      </c>
      <c r="E6" s="167" t="s">
        <v>62</v>
      </c>
      <c r="F6" s="168" t="s">
        <v>63</v>
      </c>
      <c r="G6" s="167" t="s">
        <v>334</v>
      </c>
      <c r="H6" s="169" t="s">
        <v>64</v>
      </c>
      <c r="I6" s="170" t="s">
        <v>185</v>
      </c>
      <c r="J6" s="171" t="s">
        <v>186</v>
      </c>
    </row>
    <row r="7" spans="1:10" s="136" customFormat="1" ht="13">
      <c r="A7" s="214" t="s">
        <v>65</v>
      </c>
      <c r="B7" s="215" t="s">
        <v>73</v>
      </c>
      <c r="C7" s="215"/>
      <c r="D7" s="217" t="s">
        <v>74</v>
      </c>
      <c r="E7" s="233"/>
      <c r="F7" s="235"/>
      <c r="G7" s="235"/>
      <c r="H7" s="236"/>
      <c r="I7" s="199"/>
      <c r="J7" s="200"/>
    </row>
    <row r="8" spans="1:12" s="136" customFormat="1" ht="20">
      <c r="A8" s="211">
        <v>1</v>
      </c>
      <c r="B8" s="212" t="s">
        <v>238</v>
      </c>
      <c r="C8" s="237"/>
      <c r="D8" s="202" t="s">
        <v>379</v>
      </c>
      <c r="E8" s="196" t="s">
        <v>84</v>
      </c>
      <c r="F8" s="197">
        <f>F90</f>
        <v>250</v>
      </c>
      <c r="G8" s="197"/>
      <c r="H8" s="198">
        <f aca="true" t="shared" si="0" ref="H8:H38">F8*G8</f>
        <v>0</v>
      </c>
      <c r="I8" s="199" t="s">
        <v>564</v>
      </c>
      <c r="J8" s="200" t="s">
        <v>565</v>
      </c>
      <c r="K8" s="136" t="s">
        <v>435</v>
      </c>
      <c r="L8" s="136" t="s">
        <v>220</v>
      </c>
    </row>
    <row r="9" spans="1:12" s="136" customFormat="1" ht="20">
      <c r="A9" s="211">
        <f aca="true" t="shared" si="1" ref="A9:A38">A8+1</f>
        <v>2</v>
      </c>
      <c r="B9" s="212" t="s">
        <v>239</v>
      </c>
      <c r="C9" s="237"/>
      <c r="D9" s="202" t="s">
        <v>380</v>
      </c>
      <c r="E9" s="196" t="s">
        <v>84</v>
      </c>
      <c r="F9" s="197">
        <f aca="true" t="shared" si="2" ref="F9:F17">F91</f>
        <v>909</v>
      </c>
      <c r="G9" s="197"/>
      <c r="H9" s="198">
        <f t="shared" si="0"/>
        <v>0</v>
      </c>
      <c r="I9" s="199" t="s">
        <v>564</v>
      </c>
      <c r="J9" s="200" t="s">
        <v>567</v>
      </c>
      <c r="K9" s="136" t="s">
        <v>441</v>
      </c>
      <c r="L9" s="136" t="s">
        <v>220</v>
      </c>
    </row>
    <row r="10" spans="1:12" s="136" customFormat="1" ht="20">
      <c r="A10" s="211">
        <f t="shared" si="1"/>
        <v>3</v>
      </c>
      <c r="B10" s="212" t="s">
        <v>240</v>
      </c>
      <c r="C10" s="237"/>
      <c r="D10" s="202" t="s">
        <v>381</v>
      </c>
      <c r="E10" s="196" t="s">
        <v>84</v>
      </c>
      <c r="F10" s="197">
        <f t="shared" si="2"/>
        <v>448</v>
      </c>
      <c r="G10" s="197"/>
      <c r="H10" s="198">
        <f t="shared" si="0"/>
        <v>0</v>
      </c>
      <c r="I10" s="199" t="s">
        <v>564</v>
      </c>
      <c r="J10" s="200" t="s">
        <v>567</v>
      </c>
      <c r="K10" s="136" t="s">
        <v>436</v>
      </c>
      <c r="L10" s="136" t="s">
        <v>220</v>
      </c>
    </row>
    <row r="11" spans="1:12" s="136" customFormat="1" ht="20">
      <c r="A11" s="211">
        <f t="shared" si="1"/>
        <v>4</v>
      </c>
      <c r="B11" s="212" t="s">
        <v>241</v>
      </c>
      <c r="C11" s="237"/>
      <c r="D11" s="202" t="s">
        <v>382</v>
      </c>
      <c r="E11" s="196" t="s">
        <v>84</v>
      </c>
      <c r="F11" s="197">
        <f t="shared" si="2"/>
        <v>188</v>
      </c>
      <c r="G11" s="197"/>
      <c r="H11" s="198">
        <f t="shared" si="0"/>
        <v>0</v>
      </c>
      <c r="I11" s="199" t="s">
        <v>564</v>
      </c>
      <c r="J11" s="200" t="s">
        <v>567</v>
      </c>
      <c r="K11" s="136" t="s">
        <v>437</v>
      </c>
      <c r="L11" s="136" t="s">
        <v>220</v>
      </c>
    </row>
    <row r="12" spans="1:12" s="136" customFormat="1" ht="20">
      <c r="A12" s="211">
        <f t="shared" si="1"/>
        <v>5</v>
      </c>
      <c r="B12" s="212" t="s">
        <v>243</v>
      </c>
      <c r="C12" s="237"/>
      <c r="D12" s="202" t="s">
        <v>383</v>
      </c>
      <c r="E12" s="196" t="s">
        <v>84</v>
      </c>
      <c r="F12" s="197">
        <f t="shared" si="2"/>
        <v>411</v>
      </c>
      <c r="G12" s="197"/>
      <c r="H12" s="198">
        <f t="shared" si="0"/>
        <v>0</v>
      </c>
      <c r="I12" s="199" t="s">
        <v>564</v>
      </c>
      <c r="J12" s="200" t="s">
        <v>567</v>
      </c>
      <c r="K12" s="136" t="s">
        <v>438</v>
      </c>
      <c r="L12" s="136" t="s">
        <v>220</v>
      </c>
    </row>
    <row r="13" spans="1:12" s="136" customFormat="1" ht="20">
      <c r="A13" s="211">
        <f t="shared" si="1"/>
        <v>6</v>
      </c>
      <c r="B13" s="212" t="s">
        <v>244</v>
      </c>
      <c r="C13" s="237"/>
      <c r="D13" s="202" t="s">
        <v>384</v>
      </c>
      <c r="E13" s="196" t="s">
        <v>84</v>
      </c>
      <c r="F13" s="197">
        <f t="shared" si="2"/>
        <v>371</v>
      </c>
      <c r="G13" s="197"/>
      <c r="H13" s="198">
        <f t="shared" si="0"/>
        <v>0</v>
      </c>
      <c r="I13" s="199" t="s">
        <v>564</v>
      </c>
      <c r="J13" s="200" t="s">
        <v>567</v>
      </c>
      <c r="K13" s="136" t="s">
        <v>439</v>
      </c>
      <c r="L13" s="136" t="s">
        <v>220</v>
      </c>
    </row>
    <row r="14" spans="1:12" s="136" customFormat="1" ht="20">
      <c r="A14" s="211">
        <f t="shared" si="1"/>
        <v>7</v>
      </c>
      <c r="B14" s="212" t="s">
        <v>245</v>
      </c>
      <c r="C14" s="237"/>
      <c r="D14" s="202" t="s">
        <v>385</v>
      </c>
      <c r="E14" s="196" t="s">
        <v>84</v>
      </c>
      <c r="F14" s="197">
        <f t="shared" si="2"/>
        <v>295</v>
      </c>
      <c r="G14" s="197"/>
      <c r="H14" s="198">
        <f t="shared" si="0"/>
        <v>0</v>
      </c>
      <c r="I14" s="199" t="s">
        <v>564</v>
      </c>
      <c r="J14" s="200" t="s">
        <v>567</v>
      </c>
      <c r="K14" s="136" t="s">
        <v>440</v>
      </c>
      <c r="L14" s="136" t="s">
        <v>220</v>
      </c>
    </row>
    <row r="15" spans="1:12" s="136" customFormat="1" ht="20">
      <c r="A15" s="211">
        <f t="shared" si="1"/>
        <v>8</v>
      </c>
      <c r="B15" s="212" t="s">
        <v>246</v>
      </c>
      <c r="C15" s="237"/>
      <c r="D15" s="202" t="s">
        <v>386</v>
      </c>
      <c r="E15" s="196" t="s">
        <v>84</v>
      </c>
      <c r="F15" s="197">
        <f t="shared" si="2"/>
        <v>83</v>
      </c>
      <c r="G15" s="197"/>
      <c r="H15" s="198">
        <f t="shared" si="0"/>
        <v>0</v>
      </c>
      <c r="I15" s="199" t="s">
        <v>564</v>
      </c>
      <c r="J15" s="200" t="s">
        <v>567</v>
      </c>
      <c r="K15" s="136" t="s">
        <v>442</v>
      </c>
      <c r="L15" s="136" t="s">
        <v>220</v>
      </c>
    </row>
    <row r="16" spans="1:12" s="136" customFormat="1" ht="20">
      <c r="A16" s="211">
        <f t="shared" si="1"/>
        <v>9</v>
      </c>
      <c r="B16" s="212" t="s">
        <v>247</v>
      </c>
      <c r="C16" s="237"/>
      <c r="D16" s="202" t="s">
        <v>387</v>
      </c>
      <c r="E16" s="196" t="s">
        <v>84</v>
      </c>
      <c r="F16" s="197">
        <f t="shared" si="2"/>
        <v>451</v>
      </c>
      <c r="G16" s="197"/>
      <c r="H16" s="198">
        <f t="shared" si="0"/>
        <v>0</v>
      </c>
      <c r="I16" s="199" t="s">
        <v>564</v>
      </c>
      <c r="J16" s="200" t="s">
        <v>567</v>
      </c>
      <c r="K16" s="136" t="s">
        <v>443</v>
      </c>
      <c r="L16" s="136" t="s">
        <v>220</v>
      </c>
    </row>
    <row r="17" spans="1:11" s="136" customFormat="1" ht="20">
      <c r="A17" s="211">
        <f t="shared" si="1"/>
        <v>10</v>
      </c>
      <c r="B17" s="212" t="s">
        <v>248</v>
      </c>
      <c r="C17" s="237"/>
      <c r="D17" s="202" t="s">
        <v>388</v>
      </c>
      <c r="E17" s="196" t="s">
        <v>84</v>
      </c>
      <c r="F17" s="197">
        <f t="shared" si="2"/>
        <v>72</v>
      </c>
      <c r="G17" s="197"/>
      <c r="H17" s="198">
        <f t="shared" si="0"/>
        <v>0</v>
      </c>
      <c r="I17" s="199" t="s">
        <v>564</v>
      </c>
      <c r="J17" s="200" t="s">
        <v>567</v>
      </c>
      <c r="K17" s="136" t="s">
        <v>444</v>
      </c>
    </row>
    <row r="18" spans="1:18" s="136" customFormat="1" ht="20">
      <c r="A18" s="211">
        <f t="shared" si="1"/>
        <v>11</v>
      </c>
      <c r="B18" s="212" t="s">
        <v>559</v>
      </c>
      <c r="C18" s="237"/>
      <c r="D18" s="202" t="s">
        <v>535</v>
      </c>
      <c r="E18" s="196" t="s">
        <v>84</v>
      </c>
      <c r="F18" s="197">
        <v>123</v>
      </c>
      <c r="G18" s="197"/>
      <c r="H18" s="198">
        <f t="shared" si="0"/>
        <v>0</v>
      </c>
      <c r="I18" s="199" t="s">
        <v>566</v>
      </c>
      <c r="J18" s="200"/>
      <c r="K18" s="136" t="s">
        <v>443</v>
      </c>
      <c r="O18" s="185">
        <f>200+40+40</f>
        <v>280</v>
      </c>
      <c r="P18" s="185"/>
      <c r="Q18" s="185">
        <f aca="true" t="shared" si="3" ref="Q18:Q19">O18/1000*3.14</f>
        <v>0.8792000000000001</v>
      </c>
      <c r="R18" s="185">
        <f aca="true" t="shared" si="4" ref="R18:R19">F18*Q18</f>
        <v>108.14160000000001</v>
      </c>
    </row>
    <row r="19" spans="1:18" s="136" customFormat="1" ht="20">
      <c r="A19" s="211">
        <f t="shared" si="1"/>
        <v>12</v>
      </c>
      <c r="B19" s="212" t="s">
        <v>560</v>
      </c>
      <c r="C19" s="237"/>
      <c r="D19" s="202" t="s">
        <v>536</v>
      </c>
      <c r="E19" s="196" t="s">
        <v>84</v>
      </c>
      <c r="F19" s="197">
        <v>72</v>
      </c>
      <c r="G19" s="197"/>
      <c r="H19" s="198">
        <f t="shared" si="0"/>
        <v>0</v>
      </c>
      <c r="I19" s="199" t="s">
        <v>566</v>
      </c>
      <c r="J19" s="200"/>
      <c r="K19" s="136" t="s">
        <v>444</v>
      </c>
      <c r="O19" s="185">
        <f>230+40+40</f>
        <v>310</v>
      </c>
      <c r="P19" s="185"/>
      <c r="Q19" s="185">
        <f t="shared" si="3"/>
        <v>0.9734</v>
      </c>
      <c r="R19" s="185">
        <f t="shared" si="4"/>
        <v>70.0848</v>
      </c>
    </row>
    <row r="20" spans="1:18" s="136" customFormat="1" ht="12.75">
      <c r="A20" s="211">
        <f t="shared" si="1"/>
        <v>13</v>
      </c>
      <c r="B20" s="212" t="s">
        <v>561</v>
      </c>
      <c r="C20" s="237"/>
      <c r="D20" s="202" t="s">
        <v>537</v>
      </c>
      <c r="E20" s="196" t="s">
        <v>76</v>
      </c>
      <c r="F20" s="197">
        <v>123</v>
      </c>
      <c r="G20" s="197"/>
      <c r="H20" s="198">
        <f t="shared" si="0"/>
        <v>0</v>
      </c>
      <c r="I20" s="199"/>
      <c r="J20" s="200"/>
      <c r="O20" s="185"/>
      <c r="P20" s="185"/>
      <c r="Q20" s="185"/>
      <c r="R20" s="185"/>
    </row>
    <row r="21" spans="1:18" s="136" customFormat="1" ht="12.75">
      <c r="A21" s="211">
        <f t="shared" si="1"/>
        <v>14</v>
      </c>
      <c r="B21" s="212" t="s">
        <v>562</v>
      </c>
      <c r="C21" s="237"/>
      <c r="D21" s="202" t="s">
        <v>538</v>
      </c>
      <c r="E21" s="196" t="s">
        <v>76</v>
      </c>
      <c r="F21" s="197">
        <v>72</v>
      </c>
      <c r="G21" s="197"/>
      <c r="H21" s="198">
        <f t="shared" si="0"/>
        <v>0</v>
      </c>
      <c r="I21" s="199"/>
      <c r="J21" s="200"/>
      <c r="O21" s="185"/>
      <c r="P21" s="185"/>
      <c r="Q21" s="185"/>
      <c r="R21" s="185"/>
    </row>
    <row r="22" spans="1:18" s="136" customFormat="1" ht="12.75">
      <c r="A22" s="211">
        <f t="shared" si="1"/>
        <v>15</v>
      </c>
      <c r="B22" s="212" t="s">
        <v>563</v>
      </c>
      <c r="C22" s="228"/>
      <c r="D22" s="229" t="s">
        <v>539</v>
      </c>
      <c r="E22" s="230" t="s">
        <v>76</v>
      </c>
      <c r="F22" s="213">
        <f>F20+F21</f>
        <v>195</v>
      </c>
      <c r="G22" s="213"/>
      <c r="H22" s="240">
        <f t="shared" si="0"/>
        <v>0</v>
      </c>
      <c r="I22" s="251" t="s">
        <v>540</v>
      </c>
      <c r="J22" s="231" t="s">
        <v>541</v>
      </c>
      <c r="O22" s="185"/>
      <c r="P22" s="185"/>
      <c r="Q22" s="185"/>
      <c r="R22" s="185"/>
    </row>
    <row r="23" spans="1:18" s="173" customFormat="1" ht="12.75">
      <c r="A23" s="211">
        <f t="shared" si="1"/>
        <v>16</v>
      </c>
      <c r="B23" s="212" t="s">
        <v>390</v>
      </c>
      <c r="C23" s="237"/>
      <c r="D23" s="202" t="s">
        <v>221</v>
      </c>
      <c r="E23" s="196" t="s">
        <v>70</v>
      </c>
      <c r="F23" s="197">
        <v>2</v>
      </c>
      <c r="G23" s="197"/>
      <c r="H23" s="198">
        <f t="shared" si="0"/>
        <v>0</v>
      </c>
      <c r="I23" s="199" t="s">
        <v>564</v>
      </c>
      <c r="J23" s="200"/>
      <c r="O23" s="185"/>
      <c r="P23" s="185"/>
      <c r="Q23" s="185"/>
      <c r="R23" s="185"/>
    </row>
    <row r="24" spans="1:18" s="136" customFormat="1" ht="12.75">
      <c r="A24" s="211">
        <f t="shared" si="1"/>
        <v>17</v>
      </c>
      <c r="B24" s="212" t="s">
        <v>391</v>
      </c>
      <c r="C24" s="237"/>
      <c r="D24" s="202" t="s">
        <v>123</v>
      </c>
      <c r="E24" s="196" t="s">
        <v>84</v>
      </c>
      <c r="F24" s="197">
        <v>780</v>
      </c>
      <c r="G24" s="197"/>
      <c r="H24" s="198">
        <f t="shared" si="0"/>
        <v>0</v>
      </c>
      <c r="I24" s="199" t="s">
        <v>564</v>
      </c>
      <c r="J24" s="200"/>
      <c r="O24" s="185"/>
      <c r="P24" s="185"/>
      <c r="Q24" s="185"/>
      <c r="R24" s="185">
        <f>SUM(R18:R19)</f>
        <v>178.2264</v>
      </c>
    </row>
    <row r="25" spans="1:18" s="136" customFormat="1" ht="12.75">
      <c r="A25" s="211">
        <f t="shared" si="1"/>
        <v>18</v>
      </c>
      <c r="B25" s="212" t="s">
        <v>392</v>
      </c>
      <c r="C25" s="237"/>
      <c r="D25" s="202" t="s">
        <v>225</v>
      </c>
      <c r="E25" s="196" t="s">
        <v>71</v>
      </c>
      <c r="F25" s="197">
        <v>11</v>
      </c>
      <c r="G25" s="197"/>
      <c r="H25" s="198">
        <f t="shared" si="0"/>
        <v>0</v>
      </c>
      <c r="I25" s="199" t="s">
        <v>564</v>
      </c>
      <c r="J25" s="200" t="s">
        <v>567</v>
      </c>
      <c r="O25" s="185"/>
      <c r="P25" s="185"/>
      <c r="Q25" s="185"/>
      <c r="R25" s="185"/>
    </row>
    <row r="26" spans="1:10" s="136" customFormat="1" ht="12.75">
      <c r="A26" s="211">
        <f t="shared" si="1"/>
        <v>19</v>
      </c>
      <c r="B26" s="212" t="s">
        <v>393</v>
      </c>
      <c r="C26" s="237"/>
      <c r="D26" s="202" t="s">
        <v>227</v>
      </c>
      <c r="E26" s="196" t="s">
        <v>71</v>
      </c>
      <c r="F26" s="197">
        <v>87</v>
      </c>
      <c r="G26" s="197"/>
      <c r="H26" s="198">
        <f t="shared" si="0"/>
        <v>0</v>
      </c>
      <c r="I26" s="199" t="s">
        <v>564</v>
      </c>
      <c r="J26" s="200" t="s">
        <v>567</v>
      </c>
    </row>
    <row r="27" spans="1:10" s="136" customFormat="1" ht="12.75">
      <c r="A27" s="211">
        <f t="shared" si="1"/>
        <v>20</v>
      </c>
      <c r="B27" s="212" t="s">
        <v>394</v>
      </c>
      <c r="C27" s="237"/>
      <c r="D27" s="202" t="s">
        <v>226</v>
      </c>
      <c r="E27" s="196" t="s">
        <v>71</v>
      </c>
      <c r="F27" s="197">
        <v>172</v>
      </c>
      <c r="G27" s="197"/>
      <c r="H27" s="198">
        <f t="shared" si="0"/>
        <v>0</v>
      </c>
      <c r="I27" s="199" t="s">
        <v>564</v>
      </c>
      <c r="J27" s="200" t="s">
        <v>567</v>
      </c>
    </row>
    <row r="28" spans="1:10" s="136" customFormat="1" ht="12.75">
      <c r="A28" s="211">
        <f t="shared" si="1"/>
        <v>21</v>
      </c>
      <c r="B28" s="212" t="s">
        <v>249</v>
      </c>
      <c r="C28" s="237"/>
      <c r="D28" s="201" t="s">
        <v>154</v>
      </c>
      <c r="E28" s="248" t="s">
        <v>66</v>
      </c>
      <c r="F28" s="249">
        <f>CEILING(SUM(F8:F9)/2.5,1)</f>
        <v>464</v>
      </c>
      <c r="G28" s="249"/>
      <c r="H28" s="198">
        <f t="shared" si="0"/>
        <v>0</v>
      </c>
      <c r="I28" s="199" t="s">
        <v>564</v>
      </c>
      <c r="J28" s="200" t="s">
        <v>567</v>
      </c>
    </row>
    <row r="29" spans="1:10" s="136" customFormat="1" ht="12.75">
      <c r="A29" s="211">
        <f t="shared" si="1"/>
        <v>22</v>
      </c>
      <c r="B29" s="212" t="s">
        <v>250</v>
      </c>
      <c r="C29" s="237"/>
      <c r="D29" s="201" t="s">
        <v>568</v>
      </c>
      <c r="E29" s="248" t="s">
        <v>66</v>
      </c>
      <c r="F29" s="249">
        <f>CEILING(SUM(F10:F11)/2.5,1)</f>
        <v>255</v>
      </c>
      <c r="G29" s="249"/>
      <c r="H29" s="198">
        <f t="shared" si="0"/>
        <v>0</v>
      </c>
      <c r="I29" s="199" t="s">
        <v>564</v>
      </c>
      <c r="J29" s="200" t="s">
        <v>567</v>
      </c>
    </row>
    <row r="30" spans="1:10" s="136" customFormat="1" ht="12.75">
      <c r="A30" s="211">
        <f t="shared" si="1"/>
        <v>23</v>
      </c>
      <c r="B30" s="212" t="s">
        <v>251</v>
      </c>
      <c r="C30" s="237"/>
      <c r="D30" s="201" t="s">
        <v>151</v>
      </c>
      <c r="E30" s="248" t="s">
        <v>66</v>
      </c>
      <c r="F30" s="249">
        <f aca="true" t="shared" si="5" ref="F30:F35">CEILING(SUM(F12)/2.5,1)</f>
        <v>165</v>
      </c>
      <c r="G30" s="249"/>
      <c r="H30" s="198">
        <f t="shared" si="0"/>
        <v>0</v>
      </c>
      <c r="I30" s="199" t="s">
        <v>564</v>
      </c>
      <c r="J30" s="200" t="s">
        <v>567</v>
      </c>
    </row>
    <row r="31" spans="1:10" s="136" customFormat="1" ht="12.75">
      <c r="A31" s="211">
        <f t="shared" si="1"/>
        <v>24</v>
      </c>
      <c r="B31" s="212" t="s">
        <v>252</v>
      </c>
      <c r="C31" s="237"/>
      <c r="D31" s="201" t="s">
        <v>152</v>
      </c>
      <c r="E31" s="248" t="s">
        <v>66</v>
      </c>
      <c r="F31" s="249">
        <f t="shared" si="5"/>
        <v>149</v>
      </c>
      <c r="G31" s="249"/>
      <c r="H31" s="198">
        <f t="shared" si="0"/>
        <v>0</v>
      </c>
      <c r="I31" s="199" t="s">
        <v>564</v>
      </c>
      <c r="J31" s="200" t="s">
        <v>567</v>
      </c>
    </row>
    <row r="32" spans="1:10" s="136" customFormat="1" ht="12.75">
      <c r="A32" s="211">
        <f t="shared" si="1"/>
        <v>25</v>
      </c>
      <c r="B32" s="212" t="s">
        <v>368</v>
      </c>
      <c r="C32" s="237"/>
      <c r="D32" s="201" t="s">
        <v>331</v>
      </c>
      <c r="E32" s="248" t="s">
        <v>66</v>
      </c>
      <c r="F32" s="249">
        <f t="shared" si="5"/>
        <v>118</v>
      </c>
      <c r="G32" s="249"/>
      <c r="H32" s="198">
        <f t="shared" si="0"/>
        <v>0</v>
      </c>
      <c r="I32" s="199" t="s">
        <v>564</v>
      </c>
      <c r="J32" s="200" t="s">
        <v>567</v>
      </c>
    </row>
    <row r="33" spans="1:10" s="136" customFormat="1" ht="12.75">
      <c r="A33" s="211">
        <f t="shared" si="1"/>
        <v>26</v>
      </c>
      <c r="B33" s="212" t="s">
        <v>253</v>
      </c>
      <c r="C33" s="237"/>
      <c r="D33" s="201" t="s">
        <v>176</v>
      </c>
      <c r="E33" s="248" t="s">
        <v>66</v>
      </c>
      <c r="F33" s="249">
        <f t="shared" si="5"/>
        <v>34</v>
      </c>
      <c r="G33" s="249"/>
      <c r="H33" s="198">
        <f t="shared" si="0"/>
        <v>0</v>
      </c>
      <c r="I33" s="199" t="s">
        <v>564</v>
      </c>
      <c r="J33" s="200" t="s">
        <v>567</v>
      </c>
    </row>
    <row r="34" spans="1:10" s="136" customFormat="1" ht="13.5" customHeight="1">
      <c r="A34" s="211">
        <f t="shared" si="1"/>
        <v>27</v>
      </c>
      <c r="B34" s="212" t="s">
        <v>254</v>
      </c>
      <c r="C34" s="237"/>
      <c r="D34" s="201" t="s">
        <v>153</v>
      </c>
      <c r="E34" s="248" t="s">
        <v>66</v>
      </c>
      <c r="F34" s="249">
        <f t="shared" si="5"/>
        <v>181</v>
      </c>
      <c r="G34" s="249"/>
      <c r="H34" s="198">
        <f t="shared" si="0"/>
        <v>0</v>
      </c>
      <c r="I34" s="199" t="s">
        <v>564</v>
      </c>
      <c r="J34" s="200" t="s">
        <v>567</v>
      </c>
    </row>
    <row r="35" spans="1:10" s="136" customFormat="1" ht="13.5" customHeight="1">
      <c r="A35" s="211">
        <f t="shared" si="1"/>
        <v>28</v>
      </c>
      <c r="B35" s="212" t="s">
        <v>369</v>
      </c>
      <c r="C35" s="237"/>
      <c r="D35" s="201" t="s">
        <v>569</v>
      </c>
      <c r="E35" s="248" t="s">
        <v>66</v>
      </c>
      <c r="F35" s="249">
        <f t="shared" si="5"/>
        <v>29</v>
      </c>
      <c r="G35" s="249"/>
      <c r="H35" s="198">
        <f t="shared" si="0"/>
        <v>0</v>
      </c>
      <c r="I35" s="199" t="s">
        <v>564</v>
      </c>
      <c r="J35" s="200" t="s">
        <v>567</v>
      </c>
    </row>
    <row r="36" spans="1:10" s="136" customFormat="1" ht="12.75">
      <c r="A36" s="211">
        <f t="shared" si="1"/>
        <v>29</v>
      </c>
      <c r="B36" s="212" t="s">
        <v>255</v>
      </c>
      <c r="C36" s="237"/>
      <c r="D36" s="201" t="s">
        <v>229</v>
      </c>
      <c r="E36" s="248" t="s">
        <v>194</v>
      </c>
      <c r="F36" s="249">
        <v>30</v>
      </c>
      <c r="G36" s="249"/>
      <c r="H36" s="198">
        <f t="shared" si="0"/>
        <v>0</v>
      </c>
      <c r="I36" s="199"/>
      <c r="J36" s="200"/>
    </row>
    <row r="37" spans="1:10" s="136" customFormat="1" ht="13.5" customHeight="1">
      <c r="A37" s="211">
        <f t="shared" si="1"/>
        <v>30</v>
      </c>
      <c r="B37" s="212" t="s">
        <v>328</v>
      </c>
      <c r="C37" s="212"/>
      <c r="D37" s="202" t="s">
        <v>228</v>
      </c>
      <c r="E37" s="196" t="s">
        <v>81</v>
      </c>
      <c r="F37" s="197">
        <v>1</v>
      </c>
      <c r="G37" s="197"/>
      <c r="H37" s="198">
        <f>F37*G37</f>
        <v>0</v>
      </c>
      <c r="I37" s="199"/>
      <c r="J37" s="200"/>
    </row>
    <row r="38" spans="1:10" s="136" customFormat="1" ht="12.75">
      <c r="A38" s="211">
        <f t="shared" si="1"/>
        <v>31</v>
      </c>
      <c r="B38" s="212" t="s">
        <v>85</v>
      </c>
      <c r="C38" s="212"/>
      <c r="D38" s="202" t="s">
        <v>611</v>
      </c>
      <c r="E38" s="196" t="s">
        <v>609</v>
      </c>
      <c r="F38" s="197">
        <f>SUM(F8:F19)*(0.15/1000)+SUM(F20:F21)*(0.4/1000)+F22*(0.25/1000)+(2/1000)+SUM(F25:F27)*(0.5/1000)+SUM(F28:F35)*(0.05/1000)+(F36/1000)</f>
        <v>0.9144499999999999</v>
      </c>
      <c r="G38" s="197"/>
      <c r="H38" s="198">
        <f t="shared" si="0"/>
        <v>0</v>
      </c>
      <c r="I38" s="199"/>
      <c r="J38" s="200"/>
    </row>
    <row r="39" spans="1:11" s="136" customFormat="1" ht="13">
      <c r="A39" s="233"/>
      <c r="B39" s="221" t="s">
        <v>67</v>
      </c>
      <c r="C39" s="221"/>
      <c r="D39" s="223" t="s">
        <v>75</v>
      </c>
      <c r="E39" s="233"/>
      <c r="F39" s="234"/>
      <c r="G39" s="225"/>
      <c r="H39" s="226">
        <f>SUM(H8:H38)</f>
        <v>0</v>
      </c>
      <c r="I39" s="199"/>
      <c r="J39" s="200"/>
      <c r="K39" s="136" t="e">
        <f>H39/$M$3</f>
        <v>#DIV/0!</v>
      </c>
    </row>
    <row r="40" spans="1:10" s="136" customFormat="1" ht="13">
      <c r="A40" s="214" t="s">
        <v>65</v>
      </c>
      <c r="B40" s="215" t="s">
        <v>242</v>
      </c>
      <c r="C40" s="216"/>
      <c r="D40" s="217" t="s">
        <v>136</v>
      </c>
      <c r="E40" s="218"/>
      <c r="F40" s="219"/>
      <c r="G40" s="219"/>
      <c r="H40" s="220"/>
      <c r="I40" s="199"/>
      <c r="J40" s="200"/>
    </row>
    <row r="41" spans="1:10" s="136" customFormat="1" ht="178.5" customHeight="1">
      <c r="A41" s="211">
        <f>A38+1</f>
        <v>32</v>
      </c>
      <c r="B41" s="212" t="s">
        <v>365</v>
      </c>
      <c r="C41" s="212"/>
      <c r="D41" s="202" t="s">
        <v>445</v>
      </c>
      <c r="E41" s="196" t="s">
        <v>66</v>
      </c>
      <c r="F41" s="197">
        <v>2</v>
      </c>
      <c r="G41" s="197"/>
      <c r="H41" s="198">
        <f aca="true" t="shared" si="6" ref="H41:H45">F41*G41</f>
        <v>0</v>
      </c>
      <c r="I41" s="205" t="s">
        <v>448</v>
      </c>
      <c r="J41" s="200"/>
    </row>
    <row r="42" spans="1:10" s="136" customFormat="1" ht="12.75">
      <c r="A42" s="211">
        <f>A41+1</f>
        <v>33</v>
      </c>
      <c r="B42" s="212"/>
      <c r="C42" s="212"/>
      <c r="D42" s="202" t="s">
        <v>446</v>
      </c>
      <c r="E42" s="196" t="s">
        <v>66</v>
      </c>
      <c r="F42" s="197">
        <v>2</v>
      </c>
      <c r="G42" s="197"/>
      <c r="H42" s="198">
        <f t="shared" si="6"/>
        <v>0</v>
      </c>
      <c r="I42" s="205" t="s">
        <v>448</v>
      </c>
      <c r="J42" s="200"/>
    </row>
    <row r="43" spans="1:10" s="136" customFormat="1" ht="12.75">
      <c r="A43" s="211">
        <f aca="true" t="shared" si="7" ref="A43:A48">A42+1</f>
        <v>34</v>
      </c>
      <c r="B43" s="212"/>
      <c r="C43" s="212"/>
      <c r="D43" s="202" t="s">
        <v>447</v>
      </c>
      <c r="E43" s="196" t="s">
        <v>66</v>
      </c>
      <c r="F43" s="197">
        <v>2</v>
      </c>
      <c r="G43" s="197"/>
      <c r="H43" s="198">
        <f t="shared" si="6"/>
        <v>0</v>
      </c>
      <c r="I43" s="205" t="s">
        <v>448</v>
      </c>
      <c r="J43" s="200"/>
    </row>
    <row r="44" spans="1:10" s="136" customFormat="1" ht="110.25" customHeight="1">
      <c r="A44" s="211">
        <f t="shared" si="7"/>
        <v>35</v>
      </c>
      <c r="B44" s="212" t="s">
        <v>366</v>
      </c>
      <c r="C44" s="212" t="s">
        <v>341</v>
      </c>
      <c r="D44" s="202" t="s">
        <v>570</v>
      </c>
      <c r="E44" s="196" t="s">
        <v>66</v>
      </c>
      <c r="F44" s="197">
        <v>2</v>
      </c>
      <c r="G44" s="197"/>
      <c r="H44" s="198">
        <f t="shared" si="6"/>
        <v>0</v>
      </c>
      <c r="I44" s="205" t="s">
        <v>448</v>
      </c>
      <c r="J44" s="200"/>
    </row>
    <row r="45" spans="1:10" s="136" customFormat="1" ht="12.75">
      <c r="A45" s="211">
        <f t="shared" si="7"/>
        <v>36</v>
      </c>
      <c r="B45" s="212" t="s">
        <v>367</v>
      </c>
      <c r="C45" s="212"/>
      <c r="D45" s="201" t="s">
        <v>449</v>
      </c>
      <c r="E45" s="196" t="s">
        <v>66</v>
      </c>
      <c r="F45" s="197">
        <v>1</v>
      </c>
      <c r="G45" s="197"/>
      <c r="H45" s="198">
        <f t="shared" si="6"/>
        <v>0</v>
      </c>
      <c r="I45" s="199"/>
      <c r="J45" s="200"/>
    </row>
    <row r="46" spans="1:10" s="136" customFormat="1" ht="12.75">
      <c r="A46" s="211">
        <f t="shared" si="7"/>
        <v>37</v>
      </c>
      <c r="B46" s="212" t="s">
        <v>327</v>
      </c>
      <c r="C46" s="212"/>
      <c r="D46" s="202" t="s">
        <v>181</v>
      </c>
      <c r="E46" s="196" t="s">
        <v>81</v>
      </c>
      <c r="F46" s="197">
        <v>1</v>
      </c>
      <c r="G46" s="197"/>
      <c r="H46" s="198">
        <f>F46*G46</f>
        <v>0</v>
      </c>
      <c r="I46" s="199"/>
      <c r="J46" s="200"/>
    </row>
    <row r="47" spans="1:10" s="136" customFormat="1" ht="20">
      <c r="A47" s="211">
        <f t="shared" si="7"/>
        <v>38</v>
      </c>
      <c r="B47" s="212" t="s">
        <v>86</v>
      </c>
      <c r="C47" s="228"/>
      <c r="D47" s="202" t="s">
        <v>177</v>
      </c>
      <c r="E47" s="196" t="s">
        <v>87</v>
      </c>
      <c r="F47" s="197">
        <v>32</v>
      </c>
      <c r="G47" s="197"/>
      <c r="H47" s="198">
        <f>F47*G47</f>
        <v>0</v>
      </c>
      <c r="I47" s="199"/>
      <c r="J47" s="200"/>
    </row>
    <row r="48" spans="1:10" s="136" customFormat="1" ht="12.75">
      <c r="A48" s="211">
        <f t="shared" si="7"/>
        <v>39</v>
      </c>
      <c r="B48" s="212" t="s">
        <v>91</v>
      </c>
      <c r="C48" s="212"/>
      <c r="D48" s="202" t="s">
        <v>610</v>
      </c>
      <c r="E48" s="196" t="s">
        <v>609</v>
      </c>
      <c r="F48" s="197">
        <v>10.6</v>
      </c>
      <c r="G48" s="197"/>
      <c r="H48" s="198">
        <f aca="true" t="shared" si="8" ref="H48">F48*G48</f>
        <v>0</v>
      </c>
      <c r="I48" s="199"/>
      <c r="J48" s="200"/>
    </row>
    <row r="49" spans="1:11" s="136" customFormat="1" ht="13">
      <c r="A49" s="211"/>
      <c r="B49" s="221" t="s">
        <v>67</v>
      </c>
      <c r="C49" s="222"/>
      <c r="D49" s="223" t="s">
        <v>137</v>
      </c>
      <c r="E49" s="218"/>
      <c r="F49" s="224"/>
      <c r="G49" s="225"/>
      <c r="H49" s="226">
        <f>SUM(H41:H48)</f>
        <v>0</v>
      </c>
      <c r="I49" s="199"/>
      <c r="J49" s="200"/>
      <c r="K49" s="136" t="e">
        <f>H49/$M$3</f>
        <v>#DIV/0!</v>
      </c>
    </row>
    <row r="50" spans="1:10" s="136" customFormat="1" ht="13">
      <c r="A50" s="214" t="s">
        <v>65</v>
      </c>
      <c r="B50" s="215" t="s">
        <v>89</v>
      </c>
      <c r="C50" s="227"/>
      <c r="D50" s="217" t="s">
        <v>90</v>
      </c>
      <c r="E50" s="218"/>
      <c r="F50" s="219"/>
      <c r="G50" s="219"/>
      <c r="H50" s="220"/>
      <c r="I50" s="199"/>
      <c r="J50" s="200"/>
    </row>
    <row r="51" spans="1:10" s="136" customFormat="1" ht="12.75">
      <c r="A51" s="211">
        <f>A48+1</f>
        <v>40</v>
      </c>
      <c r="B51" s="212" t="s">
        <v>257</v>
      </c>
      <c r="C51" s="227"/>
      <c r="D51" s="202" t="s">
        <v>203</v>
      </c>
      <c r="E51" s="196" t="s">
        <v>81</v>
      </c>
      <c r="F51" s="197">
        <v>40</v>
      </c>
      <c r="G51" s="197"/>
      <c r="H51" s="198">
        <f aca="true" t="shared" si="9" ref="H51:H83">F51*G51</f>
        <v>0</v>
      </c>
      <c r="I51" s="199"/>
      <c r="J51" s="200"/>
    </row>
    <row r="52" spans="1:10" s="136" customFormat="1" ht="12.75">
      <c r="A52" s="211">
        <f>A51+1</f>
        <v>41</v>
      </c>
      <c r="B52" s="212" t="s">
        <v>256</v>
      </c>
      <c r="C52" s="227" t="s">
        <v>213</v>
      </c>
      <c r="D52" s="202" t="s">
        <v>450</v>
      </c>
      <c r="E52" s="196" t="s">
        <v>81</v>
      </c>
      <c r="F52" s="197">
        <v>1</v>
      </c>
      <c r="G52" s="203"/>
      <c r="H52" s="204">
        <f t="shared" si="9"/>
        <v>0</v>
      </c>
      <c r="I52" s="205" t="s">
        <v>204</v>
      </c>
      <c r="J52" s="205" t="s">
        <v>451</v>
      </c>
    </row>
    <row r="53" spans="1:10" s="136" customFormat="1" ht="30">
      <c r="A53" s="211">
        <f aca="true" t="shared" si="10" ref="A53:A87">A52+1</f>
        <v>42</v>
      </c>
      <c r="B53" s="212" t="s">
        <v>259</v>
      </c>
      <c r="C53" s="227"/>
      <c r="D53" s="202" t="s">
        <v>466</v>
      </c>
      <c r="E53" s="196" t="s">
        <v>81</v>
      </c>
      <c r="F53" s="197">
        <v>1</v>
      </c>
      <c r="G53" s="203"/>
      <c r="H53" s="204">
        <f t="shared" si="9"/>
        <v>0</v>
      </c>
      <c r="I53" s="205" t="s">
        <v>204</v>
      </c>
      <c r="J53" s="206" t="s">
        <v>452</v>
      </c>
    </row>
    <row r="54" spans="1:10" s="136" customFormat="1" ht="12.75">
      <c r="A54" s="211">
        <f t="shared" si="10"/>
        <v>43</v>
      </c>
      <c r="B54" s="212" t="s">
        <v>274</v>
      </c>
      <c r="C54" s="227" t="s">
        <v>336</v>
      </c>
      <c r="D54" s="202" t="s">
        <v>230</v>
      </c>
      <c r="E54" s="196" t="s">
        <v>70</v>
      </c>
      <c r="F54" s="197">
        <v>4</v>
      </c>
      <c r="G54" s="197"/>
      <c r="H54" s="198">
        <f t="shared" si="9"/>
        <v>0</v>
      </c>
      <c r="I54" s="205"/>
      <c r="J54" s="206"/>
    </row>
    <row r="55" spans="1:10" s="136" customFormat="1" ht="12.75">
      <c r="A55" s="211">
        <f t="shared" si="10"/>
        <v>44</v>
      </c>
      <c r="B55" s="212" t="s">
        <v>275</v>
      </c>
      <c r="C55" s="227" t="s">
        <v>213</v>
      </c>
      <c r="D55" s="202" t="s">
        <v>453</v>
      </c>
      <c r="E55" s="196" t="s">
        <v>66</v>
      </c>
      <c r="F55" s="197">
        <v>1</v>
      </c>
      <c r="G55" s="203"/>
      <c r="H55" s="204">
        <f t="shared" si="9"/>
        <v>0</v>
      </c>
      <c r="I55" s="205" t="s">
        <v>204</v>
      </c>
      <c r="J55" s="205" t="s">
        <v>454</v>
      </c>
    </row>
    <row r="56" spans="1:10" s="136" customFormat="1" ht="12.75">
      <c r="A56" s="211">
        <f t="shared" si="10"/>
        <v>45</v>
      </c>
      <c r="B56" s="212" t="s">
        <v>276</v>
      </c>
      <c r="C56" s="227" t="s">
        <v>214</v>
      </c>
      <c r="D56" s="202" t="s">
        <v>455</v>
      </c>
      <c r="E56" s="196" t="s">
        <v>66</v>
      </c>
      <c r="F56" s="197">
        <v>1</v>
      </c>
      <c r="G56" s="203"/>
      <c r="H56" s="204">
        <f t="shared" si="9"/>
        <v>0</v>
      </c>
      <c r="I56" s="205" t="s">
        <v>204</v>
      </c>
      <c r="J56" s="205" t="s">
        <v>456</v>
      </c>
    </row>
    <row r="57" spans="1:10" s="136" customFormat="1" ht="12.75">
      <c r="A57" s="211">
        <f t="shared" si="10"/>
        <v>46</v>
      </c>
      <c r="B57" s="212" t="s">
        <v>575</v>
      </c>
      <c r="C57" s="227" t="s">
        <v>373</v>
      </c>
      <c r="D57" s="202" t="s">
        <v>457</v>
      </c>
      <c r="E57" s="196" t="s">
        <v>81</v>
      </c>
      <c r="F57" s="197">
        <v>1</v>
      </c>
      <c r="G57" s="203"/>
      <c r="H57" s="204">
        <f t="shared" si="9"/>
        <v>0</v>
      </c>
      <c r="I57" s="205" t="s">
        <v>204</v>
      </c>
      <c r="J57" s="205" t="s">
        <v>458</v>
      </c>
    </row>
    <row r="58" spans="1:10" s="136" customFormat="1" ht="12.75">
      <c r="A58" s="211">
        <f t="shared" si="10"/>
        <v>47</v>
      </c>
      <c r="B58" s="212" t="s">
        <v>277</v>
      </c>
      <c r="C58" s="227" t="s">
        <v>214</v>
      </c>
      <c r="D58" s="202" t="s">
        <v>459</v>
      </c>
      <c r="E58" s="196" t="s">
        <v>81</v>
      </c>
      <c r="F58" s="197">
        <v>1</v>
      </c>
      <c r="G58" s="203"/>
      <c r="H58" s="204">
        <f t="shared" si="9"/>
        <v>0</v>
      </c>
      <c r="I58" s="205" t="s">
        <v>204</v>
      </c>
      <c r="J58" s="205"/>
    </row>
    <row r="59" spans="1:10" s="136" customFormat="1" ht="20">
      <c r="A59" s="211">
        <f t="shared" si="10"/>
        <v>48</v>
      </c>
      <c r="B59" s="212" t="s">
        <v>258</v>
      </c>
      <c r="C59" s="227" t="s">
        <v>206</v>
      </c>
      <c r="D59" s="202" t="s">
        <v>460</v>
      </c>
      <c r="E59" s="196" t="s">
        <v>81</v>
      </c>
      <c r="F59" s="197">
        <v>1</v>
      </c>
      <c r="G59" s="203"/>
      <c r="H59" s="204">
        <f t="shared" si="9"/>
        <v>0</v>
      </c>
      <c r="I59" s="205" t="s">
        <v>204</v>
      </c>
      <c r="J59" s="205" t="s">
        <v>461</v>
      </c>
    </row>
    <row r="60" spans="1:10" s="136" customFormat="1" ht="12.75">
      <c r="A60" s="211">
        <f t="shared" si="10"/>
        <v>49</v>
      </c>
      <c r="B60" s="212" t="s">
        <v>278</v>
      </c>
      <c r="C60" s="227"/>
      <c r="D60" s="202" t="s">
        <v>486</v>
      </c>
      <c r="E60" s="196" t="s">
        <v>66</v>
      </c>
      <c r="F60" s="197">
        <v>2</v>
      </c>
      <c r="G60" s="203"/>
      <c r="H60" s="204">
        <f t="shared" si="9"/>
        <v>0</v>
      </c>
      <c r="I60" s="205"/>
      <c r="J60" s="205"/>
    </row>
    <row r="61" spans="1:10" s="136" customFormat="1" ht="12.75">
      <c r="A61" s="211">
        <f t="shared" si="10"/>
        <v>50</v>
      </c>
      <c r="B61" s="212" t="s">
        <v>576</v>
      </c>
      <c r="C61" s="227"/>
      <c r="D61" s="202" t="s">
        <v>470</v>
      </c>
      <c r="E61" s="196" t="s">
        <v>471</v>
      </c>
      <c r="F61" s="197">
        <v>8</v>
      </c>
      <c r="G61" s="203"/>
      <c r="H61" s="204">
        <f t="shared" si="9"/>
        <v>0</v>
      </c>
      <c r="I61" s="205"/>
      <c r="J61" s="205"/>
    </row>
    <row r="62" spans="1:10" s="136" customFormat="1" ht="20">
      <c r="A62" s="211">
        <f t="shared" si="10"/>
        <v>51</v>
      </c>
      <c r="B62" s="212" t="s">
        <v>279</v>
      </c>
      <c r="C62" s="227"/>
      <c r="D62" s="202" t="s">
        <v>500</v>
      </c>
      <c r="E62" s="196" t="s">
        <v>66</v>
      </c>
      <c r="F62" s="197">
        <v>1</v>
      </c>
      <c r="G62" s="203"/>
      <c r="H62" s="204">
        <f t="shared" si="9"/>
        <v>0</v>
      </c>
      <c r="I62" s="205" t="s">
        <v>204</v>
      </c>
      <c r="J62" s="205" t="s">
        <v>472</v>
      </c>
    </row>
    <row r="63" spans="1:10" s="136" customFormat="1" ht="12.75">
      <c r="A63" s="211">
        <f t="shared" si="10"/>
        <v>52</v>
      </c>
      <c r="B63" s="212" t="s">
        <v>280</v>
      </c>
      <c r="C63" s="227"/>
      <c r="D63" s="202" t="s">
        <v>470</v>
      </c>
      <c r="E63" s="196" t="s">
        <v>471</v>
      </c>
      <c r="F63" s="197">
        <v>8</v>
      </c>
      <c r="G63" s="203"/>
      <c r="H63" s="204">
        <f t="shared" si="9"/>
        <v>0</v>
      </c>
      <c r="I63" s="205"/>
      <c r="J63" s="205"/>
    </row>
    <row r="64" spans="1:10" s="136" customFormat="1" ht="12.75">
      <c r="A64" s="211">
        <f t="shared" si="10"/>
        <v>53</v>
      </c>
      <c r="B64" s="212" t="s">
        <v>281</v>
      </c>
      <c r="C64" s="227"/>
      <c r="D64" s="202" t="s">
        <v>487</v>
      </c>
      <c r="E64" s="196" t="s">
        <v>66</v>
      </c>
      <c r="F64" s="197">
        <v>1</v>
      </c>
      <c r="G64" s="203"/>
      <c r="H64" s="204">
        <f t="shared" si="9"/>
        <v>0</v>
      </c>
      <c r="I64" s="205"/>
      <c r="J64" s="205"/>
    </row>
    <row r="65" spans="1:10" s="136" customFormat="1" ht="20">
      <c r="A65" s="211">
        <f t="shared" si="10"/>
        <v>54</v>
      </c>
      <c r="B65" s="212" t="s">
        <v>577</v>
      </c>
      <c r="C65" s="227" t="s">
        <v>207</v>
      </c>
      <c r="D65" s="202" t="s">
        <v>462</v>
      </c>
      <c r="E65" s="196" t="s">
        <v>66</v>
      </c>
      <c r="F65" s="197">
        <v>1</v>
      </c>
      <c r="G65" s="203"/>
      <c r="H65" s="204">
        <f t="shared" si="9"/>
        <v>0</v>
      </c>
      <c r="I65" s="205" t="s">
        <v>204</v>
      </c>
      <c r="J65" s="205" t="s">
        <v>463</v>
      </c>
    </row>
    <row r="66" spans="1:10" s="136" customFormat="1" ht="20">
      <c r="A66" s="211">
        <f t="shared" si="10"/>
        <v>55</v>
      </c>
      <c r="B66" s="212" t="s">
        <v>578</v>
      </c>
      <c r="C66" s="227"/>
      <c r="D66" s="202" t="s">
        <v>467</v>
      </c>
      <c r="E66" s="196" t="s">
        <v>66</v>
      </c>
      <c r="F66" s="197">
        <v>1</v>
      </c>
      <c r="G66" s="203"/>
      <c r="H66" s="204">
        <f t="shared" si="9"/>
        <v>0</v>
      </c>
      <c r="I66" s="205" t="s">
        <v>204</v>
      </c>
      <c r="J66" s="205" t="s">
        <v>463</v>
      </c>
    </row>
    <row r="67" spans="1:10" s="136" customFormat="1" ht="12.75">
      <c r="A67" s="211">
        <f t="shared" si="10"/>
        <v>56</v>
      </c>
      <c r="B67" s="212" t="s">
        <v>579</v>
      </c>
      <c r="C67" s="227" t="s">
        <v>207</v>
      </c>
      <c r="D67" s="202" t="s">
        <v>217</v>
      </c>
      <c r="E67" s="196" t="s">
        <v>66</v>
      </c>
      <c r="F67" s="197">
        <v>2</v>
      </c>
      <c r="G67" s="203"/>
      <c r="H67" s="204">
        <f t="shared" si="9"/>
        <v>0</v>
      </c>
      <c r="I67" s="205" t="s">
        <v>204</v>
      </c>
      <c r="J67" s="200"/>
    </row>
    <row r="68" spans="1:10" s="136" customFormat="1" ht="12.75">
      <c r="A68" s="211">
        <f t="shared" si="10"/>
        <v>57</v>
      </c>
      <c r="B68" s="212" t="s">
        <v>580</v>
      </c>
      <c r="C68" s="227"/>
      <c r="D68" s="202" t="s">
        <v>468</v>
      </c>
      <c r="E68" s="196" t="s">
        <v>66</v>
      </c>
      <c r="F68" s="197">
        <v>2</v>
      </c>
      <c r="G68" s="203"/>
      <c r="H68" s="204">
        <f t="shared" si="9"/>
        <v>0</v>
      </c>
      <c r="I68" s="205"/>
      <c r="J68" s="200"/>
    </row>
    <row r="69" spans="1:10" s="136" customFormat="1" ht="12.75">
      <c r="A69" s="211">
        <f t="shared" si="10"/>
        <v>58</v>
      </c>
      <c r="B69" s="212" t="s">
        <v>581</v>
      </c>
      <c r="C69" s="227"/>
      <c r="D69" s="202" t="s">
        <v>464</v>
      </c>
      <c r="E69" s="196" t="s">
        <v>81</v>
      </c>
      <c r="F69" s="197">
        <v>1</v>
      </c>
      <c r="G69" s="203"/>
      <c r="H69" s="204">
        <f t="shared" si="9"/>
        <v>0</v>
      </c>
      <c r="I69" s="205" t="s">
        <v>204</v>
      </c>
      <c r="J69" s="200"/>
    </row>
    <row r="70" spans="1:10" s="136" customFormat="1" ht="30">
      <c r="A70" s="211">
        <f t="shared" si="10"/>
        <v>59</v>
      </c>
      <c r="B70" s="212" t="s">
        <v>582</v>
      </c>
      <c r="C70" s="227" t="s">
        <v>208</v>
      </c>
      <c r="D70" s="202" t="s">
        <v>465</v>
      </c>
      <c r="E70" s="196" t="s">
        <v>81</v>
      </c>
      <c r="F70" s="197">
        <v>1</v>
      </c>
      <c r="G70" s="203"/>
      <c r="H70" s="204">
        <f t="shared" si="9"/>
        <v>0</v>
      </c>
      <c r="I70" s="205" t="s">
        <v>204</v>
      </c>
      <c r="J70" s="200"/>
    </row>
    <row r="71" spans="1:10" s="136" customFormat="1" ht="40">
      <c r="A71" s="211">
        <f t="shared" si="10"/>
        <v>60</v>
      </c>
      <c r="B71" s="212" t="s">
        <v>583</v>
      </c>
      <c r="C71" s="212"/>
      <c r="D71" s="207" t="s">
        <v>469</v>
      </c>
      <c r="E71" s="196" t="s">
        <v>70</v>
      </c>
      <c r="F71" s="208">
        <v>2</v>
      </c>
      <c r="G71" s="208"/>
      <c r="H71" s="209">
        <f t="shared" si="9"/>
        <v>0</v>
      </c>
      <c r="I71" s="205" t="s">
        <v>204</v>
      </c>
      <c r="J71" s="205" t="s">
        <v>332</v>
      </c>
    </row>
    <row r="72" spans="1:10" s="136" customFormat="1" ht="12.75">
      <c r="A72" s="211">
        <f t="shared" si="10"/>
        <v>61</v>
      </c>
      <c r="B72" s="212" t="s">
        <v>282</v>
      </c>
      <c r="C72" s="212"/>
      <c r="D72" s="207" t="s">
        <v>205</v>
      </c>
      <c r="E72" s="196" t="s">
        <v>70</v>
      </c>
      <c r="F72" s="208">
        <v>3</v>
      </c>
      <c r="G72" s="208"/>
      <c r="H72" s="209">
        <f t="shared" si="9"/>
        <v>0</v>
      </c>
      <c r="I72" s="205"/>
      <c r="J72" s="200"/>
    </row>
    <row r="73" spans="1:10" s="136" customFormat="1" ht="12.75">
      <c r="A73" s="211">
        <f t="shared" si="10"/>
        <v>62</v>
      </c>
      <c r="B73" s="212" t="s">
        <v>283</v>
      </c>
      <c r="C73" s="212"/>
      <c r="D73" s="202" t="s">
        <v>333</v>
      </c>
      <c r="E73" s="196" t="s">
        <v>70</v>
      </c>
      <c r="F73" s="197">
        <v>8</v>
      </c>
      <c r="G73" s="197"/>
      <c r="H73" s="198">
        <f t="shared" si="9"/>
        <v>0</v>
      </c>
      <c r="I73" s="205" t="s">
        <v>204</v>
      </c>
      <c r="J73" s="200"/>
    </row>
    <row r="74" spans="1:10" s="136" customFormat="1" ht="20">
      <c r="A74" s="211">
        <f t="shared" si="10"/>
        <v>63</v>
      </c>
      <c r="B74" s="212" t="s">
        <v>584</v>
      </c>
      <c r="C74" s="212"/>
      <c r="D74" s="202" t="s">
        <v>488</v>
      </c>
      <c r="E74" s="196" t="s">
        <v>70</v>
      </c>
      <c r="F74" s="197">
        <v>1</v>
      </c>
      <c r="G74" s="203"/>
      <c r="H74" s="204">
        <f t="shared" si="9"/>
        <v>0</v>
      </c>
      <c r="I74" s="205" t="s">
        <v>473</v>
      </c>
      <c r="J74" s="200"/>
    </row>
    <row r="75" spans="1:10" s="136" customFormat="1" ht="20">
      <c r="A75" s="211">
        <f t="shared" si="10"/>
        <v>64</v>
      </c>
      <c r="B75" s="212" t="s">
        <v>585</v>
      </c>
      <c r="C75" s="212"/>
      <c r="D75" s="202" t="s">
        <v>489</v>
      </c>
      <c r="E75" s="196" t="s">
        <v>70</v>
      </c>
      <c r="F75" s="197">
        <v>1</v>
      </c>
      <c r="G75" s="203"/>
      <c r="H75" s="204">
        <f t="shared" si="9"/>
        <v>0</v>
      </c>
      <c r="I75" s="205" t="s">
        <v>473</v>
      </c>
      <c r="J75" s="200"/>
    </row>
    <row r="76" spans="1:10" s="136" customFormat="1" ht="12.75">
      <c r="A76" s="211">
        <f t="shared" si="10"/>
        <v>65</v>
      </c>
      <c r="B76" s="212" t="s">
        <v>586</v>
      </c>
      <c r="C76" s="227"/>
      <c r="D76" s="207" t="s">
        <v>474</v>
      </c>
      <c r="E76" s="210" t="s">
        <v>70</v>
      </c>
      <c r="F76" s="208">
        <v>6</v>
      </c>
      <c r="G76" s="208"/>
      <c r="H76" s="209">
        <f t="shared" si="9"/>
        <v>0</v>
      </c>
      <c r="I76" s="199"/>
      <c r="J76" s="200"/>
    </row>
    <row r="77" spans="1:10" s="136" customFormat="1" ht="12.75">
      <c r="A77" s="211">
        <f t="shared" si="10"/>
        <v>66</v>
      </c>
      <c r="B77" s="212" t="s">
        <v>362</v>
      </c>
      <c r="C77" s="212"/>
      <c r="D77" s="202" t="s">
        <v>330</v>
      </c>
      <c r="E77" s="196" t="s">
        <v>70</v>
      </c>
      <c r="F77" s="197">
        <f>SUM(F78:F81)</f>
        <v>8</v>
      </c>
      <c r="G77" s="197"/>
      <c r="H77" s="209">
        <f t="shared" si="9"/>
        <v>0</v>
      </c>
      <c r="I77" s="199"/>
      <c r="J77" s="200"/>
    </row>
    <row r="78" spans="1:11" s="136" customFormat="1" ht="40">
      <c r="A78" s="211">
        <f t="shared" si="10"/>
        <v>67</v>
      </c>
      <c r="B78" s="212" t="s">
        <v>363</v>
      </c>
      <c r="C78" s="232" t="s">
        <v>337</v>
      </c>
      <c r="D78" s="202" t="s">
        <v>498</v>
      </c>
      <c r="E78" s="196" t="s">
        <v>70</v>
      </c>
      <c r="F78" s="197">
        <v>1</v>
      </c>
      <c r="G78" s="197"/>
      <c r="H78" s="198">
        <f t="shared" si="9"/>
        <v>0</v>
      </c>
      <c r="I78" s="199" t="s">
        <v>335</v>
      </c>
      <c r="J78" s="200" t="s">
        <v>490</v>
      </c>
      <c r="K78" s="136" t="s">
        <v>491</v>
      </c>
    </row>
    <row r="79" spans="1:11" s="136" customFormat="1" ht="30">
      <c r="A79" s="211">
        <f t="shared" si="10"/>
        <v>68</v>
      </c>
      <c r="B79" s="212" t="s">
        <v>364</v>
      </c>
      <c r="C79" s="232"/>
      <c r="D79" s="202" t="s">
        <v>495</v>
      </c>
      <c r="E79" s="196" t="s">
        <v>70</v>
      </c>
      <c r="F79" s="197">
        <v>3</v>
      </c>
      <c r="G79" s="197"/>
      <c r="H79" s="198">
        <f t="shared" si="9"/>
        <v>0</v>
      </c>
      <c r="I79" s="199" t="s">
        <v>335</v>
      </c>
      <c r="J79" s="200" t="s">
        <v>492</v>
      </c>
      <c r="K79" s="136" t="s">
        <v>526</v>
      </c>
    </row>
    <row r="80" spans="1:11" s="136" customFormat="1" ht="40">
      <c r="A80" s="211">
        <f t="shared" si="10"/>
        <v>69</v>
      </c>
      <c r="B80" s="212" t="s">
        <v>587</v>
      </c>
      <c r="C80" s="212" t="s">
        <v>338</v>
      </c>
      <c r="D80" s="202" t="s">
        <v>603</v>
      </c>
      <c r="E80" s="196" t="s">
        <v>70</v>
      </c>
      <c r="F80" s="197">
        <v>2</v>
      </c>
      <c r="G80" s="197"/>
      <c r="H80" s="198">
        <f t="shared" si="9"/>
        <v>0</v>
      </c>
      <c r="I80" s="199" t="s">
        <v>335</v>
      </c>
      <c r="J80" s="200" t="s">
        <v>475</v>
      </c>
      <c r="K80" s="136" t="s">
        <v>493</v>
      </c>
    </row>
    <row r="81" spans="1:11" s="136" customFormat="1" ht="40">
      <c r="A81" s="211">
        <f t="shared" si="10"/>
        <v>70</v>
      </c>
      <c r="B81" s="212" t="s">
        <v>588</v>
      </c>
      <c r="C81" s="212" t="s">
        <v>339</v>
      </c>
      <c r="D81" s="202" t="s">
        <v>497</v>
      </c>
      <c r="E81" s="196" t="s">
        <v>70</v>
      </c>
      <c r="F81" s="197">
        <v>2</v>
      </c>
      <c r="G81" s="197"/>
      <c r="H81" s="198">
        <f t="shared" si="9"/>
        <v>0</v>
      </c>
      <c r="I81" s="199" t="s">
        <v>335</v>
      </c>
      <c r="J81" s="200" t="s">
        <v>340</v>
      </c>
      <c r="K81" s="136" t="s">
        <v>496</v>
      </c>
    </row>
    <row r="82" spans="1:10" s="136" customFormat="1" ht="20">
      <c r="A82" s="211">
        <f t="shared" si="10"/>
        <v>71</v>
      </c>
      <c r="B82" s="212" t="s">
        <v>589</v>
      </c>
      <c r="C82" s="212"/>
      <c r="D82" s="202" t="s">
        <v>504</v>
      </c>
      <c r="E82" s="196" t="s">
        <v>70</v>
      </c>
      <c r="F82" s="197">
        <v>1</v>
      </c>
      <c r="G82" s="197"/>
      <c r="H82" s="198">
        <f t="shared" si="9"/>
        <v>0</v>
      </c>
      <c r="I82" s="199" t="s">
        <v>204</v>
      </c>
      <c r="J82" s="200" t="s">
        <v>503</v>
      </c>
    </row>
    <row r="83" spans="1:10" s="136" customFormat="1" ht="20">
      <c r="A83" s="211">
        <f t="shared" si="10"/>
        <v>72</v>
      </c>
      <c r="B83" s="212" t="s">
        <v>590</v>
      </c>
      <c r="C83" s="212"/>
      <c r="D83" s="202" t="s">
        <v>524</v>
      </c>
      <c r="E83" s="196" t="s">
        <v>70</v>
      </c>
      <c r="F83" s="197">
        <v>1</v>
      </c>
      <c r="G83" s="197"/>
      <c r="H83" s="198">
        <f t="shared" si="9"/>
        <v>0</v>
      </c>
      <c r="I83" s="199" t="s">
        <v>204</v>
      </c>
      <c r="J83" s="200" t="s">
        <v>525</v>
      </c>
    </row>
    <row r="84" spans="1:10" s="136" customFormat="1" ht="25.5" customHeight="1">
      <c r="A84" s="211">
        <f t="shared" si="10"/>
        <v>73</v>
      </c>
      <c r="B84" s="212" t="s">
        <v>284</v>
      </c>
      <c r="C84" s="212" t="s">
        <v>209</v>
      </c>
      <c r="D84" s="202" t="s">
        <v>499</v>
      </c>
      <c r="E84" s="196" t="s">
        <v>66</v>
      </c>
      <c r="F84" s="197">
        <v>4</v>
      </c>
      <c r="G84" s="197"/>
      <c r="H84" s="198">
        <f>F84*G84</f>
        <v>0</v>
      </c>
      <c r="I84" s="199"/>
      <c r="J84" s="200"/>
    </row>
    <row r="85" spans="1:10" s="136" customFormat="1" ht="12.75">
      <c r="A85" s="211">
        <f t="shared" si="10"/>
        <v>74</v>
      </c>
      <c r="B85" s="212" t="s">
        <v>327</v>
      </c>
      <c r="C85" s="212"/>
      <c r="D85" s="202" t="s">
        <v>181</v>
      </c>
      <c r="E85" s="196" t="s">
        <v>81</v>
      </c>
      <c r="F85" s="197">
        <v>1</v>
      </c>
      <c r="G85" s="197"/>
      <c r="H85" s="198">
        <f>F85*G85</f>
        <v>0</v>
      </c>
      <c r="I85" s="199"/>
      <c r="J85" s="200"/>
    </row>
    <row r="86" spans="1:10" s="136" customFormat="1" ht="20">
      <c r="A86" s="211">
        <f t="shared" si="10"/>
        <v>75</v>
      </c>
      <c r="B86" s="212" t="s">
        <v>86</v>
      </c>
      <c r="C86" s="228"/>
      <c r="D86" s="202" t="s">
        <v>177</v>
      </c>
      <c r="E86" s="196" t="s">
        <v>87</v>
      </c>
      <c r="F86" s="197">
        <v>20</v>
      </c>
      <c r="G86" s="197"/>
      <c r="H86" s="198">
        <f>F86*G86</f>
        <v>0</v>
      </c>
      <c r="I86" s="199"/>
      <c r="J86" s="200"/>
    </row>
    <row r="87" spans="1:10" s="136" customFormat="1" ht="12.75">
      <c r="A87" s="211">
        <f t="shared" si="10"/>
        <v>76</v>
      </c>
      <c r="B87" s="212" t="s">
        <v>91</v>
      </c>
      <c r="C87" s="212"/>
      <c r="D87" s="202" t="s">
        <v>92</v>
      </c>
      <c r="E87" s="196" t="s">
        <v>609</v>
      </c>
      <c r="F87" s="197">
        <v>6.11</v>
      </c>
      <c r="G87" s="197"/>
      <c r="H87" s="198">
        <f>F87*G87</f>
        <v>0</v>
      </c>
      <c r="I87" s="199"/>
      <c r="J87" s="200"/>
    </row>
    <row r="88" spans="1:10" s="136" customFormat="1" ht="13">
      <c r="A88" s="233"/>
      <c r="B88" s="221" t="s">
        <v>67</v>
      </c>
      <c r="C88" s="221"/>
      <c r="D88" s="223" t="s">
        <v>93</v>
      </c>
      <c r="E88" s="233"/>
      <c r="F88" s="234"/>
      <c r="G88" s="225"/>
      <c r="H88" s="226">
        <f>SUM(H51:H87)</f>
        <v>0</v>
      </c>
      <c r="I88" s="199"/>
      <c r="J88" s="200"/>
    </row>
    <row r="89" spans="1:12" s="136" customFormat="1" ht="13">
      <c r="A89" s="214" t="s">
        <v>65</v>
      </c>
      <c r="B89" s="215" t="s">
        <v>94</v>
      </c>
      <c r="C89" s="216"/>
      <c r="D89" s="217" t="s">
        <v>95</v>
      </c>
      <c r="E89" s="233"/>
      <c r="F89" s="235"/>
      <c r="G89" s="235"/>
      <c r="H89" s="236"/>
      <c r="I89" s="199"/>
      <c r="J89" s="200"/>
      <c r="K89" s="136" t="s">
        <v>612</v>
      </c>
      <c r="L89" s="136" t="s">
        <v>613</v>
      </c>
    </row>
    <row r="90" spans="1:12" s="136" customFormat="1" ht="12.75">
      <c r="A90" s="211">
        <f>A87+1</f>
        <v>77</v>
      </c>
      <c r="B90" s="212" t="s">
        <v>260</v>
      </c>
      <c r="C90" s="212"/>
      <c r="D90" s="202" t="s">
        <v>124</v>
      </c>
      <c r="E90" s="196" t="s">
        <v>76</v>
      </c>
      <c r="F90" s="197">
        <v>250</v>
      </c>
      <c r="G90" s="197"/>
      <c r="H90" s="198">
        <f aca="true" t="shared" si="11" ref="H90:H114">F90*G90</f>
        <v>0</v>
      </c>
      <c r="I90" s="245"/>
      <c r="J90" s="246"/>
      <c r="K90" s="256">
        <v>1.629</v>
      </c>
      <c r="L90" s="255">
        <f>F90*K90</f>
        <v>407.25</v>
      </c>
    </row>
    <row r="91" spans="1:12" s="136" customFormat="1" ht="12.75">
      <c r="A91" s="211">
        <f aca="true" t="shared" si="12" ref="A91:A117">A90+1</f>
        <v>78</v>
      </c>
      <c r="B91" s="212" t="s">
        <v>261</v>
      </c>
      <c r="C91" s="237"/>
      <c r="D91" s="202" t="s">
        <v>125</v>
      </c>
      <c r="E91" s="196" t="s">
        <v>76</v>
      </c>
      <c r="F91" s="197">
        <v>909</v>
      </c>
      <c r="G91" s="197"/>
      <c r="H91" s="198">
        <f t="shared" si="11"/>
        <v>0</v>
      </c>
      <c r="I91" s="199"/>
      <c r="J91" s="200"/>
      <c r="K91" s="256">
        <v>1.872</v>
      </c>
      <c r="L91" s="255">
        <f aca="true" t="shared" si="13" ref="L91:L99">F91*K91</f>
        <v>1701.6480000000001</v>
      </c>
    </row>
    <row r="92" spans="1:12" s="136" customFormat="1" ht="12.75">
      <c r="A92" s="211">
        <f t="shared" si="12"/>
        <v>79</v>
      </c>
      <c r="B92" s="212" t="s">
        <v>262</v>
      </c>
      <c r="C92" s="237"/>
      <c r="D92" s="202" t="s">
        <v>126</v>
      </c>
      <c r="E92" s="196" t="s">
        <v>76</v>
      </c>
      <c r="F92" s="197">
        <v>448</v>
      </c>
      <c r="G92" s="197"/>
      <c r="H92" s="198">
        <f t="shared" si="11"/>
        <v>0</v>
      </c>
      <c r="I92" s="199"/>
      <c r="J92" s="200"/>
      <c r="K92" s="256">
        <v>2.27</v>
      </c>
      <c r="L92" s="255">
        <f t="shared" si="13"/>
        <v>1016.96</v>
      </c>
    </row>
    <row r="93" spans="1:12" s="136" customFormat="1" ht="12.75">
      <c r="A93" s="211">
        <f t="shared" si="12"/>
        <v>80</v>
      </c>
      <c r="B93" s="212" t="s">
        <v>263</v>
      </c>
      <c r="C93" s="237"/>
      <c r="D93" s="202" t="s">
        <v>149</v>
      </c>
      <c r="E93" s="196" t="s">
        <v>76</v>
      </c>
      <c r="F93" s="197">
        <v>188</v>
      </c>
      <c r="G93" s="197"/>
      <c r="H93" s="198">
        <f t="shared" si="11"/>
        <v>0</v>
      </c>
      <c r="I93" s="199"/>
      <c r="J93" s="200"/>
      <c r="K93" s="256">
        <v>2.687</v>
      </c>
      <c r="L93" s="255">
        <f t="shared" si="13"/>
        <v>505.15599999999995</v>
      </c>
    </row>
    <row r="94" spans="1:12" s="136" customFormat="1" ht="12.75">
      <c r="A94" s="211">
        <f t="shared" si="12"/>
        <v>81</v>
      </c>
      <c r="B94" s="212" t="s">
        <v>264</v>
      </c>
      <c r="C94" s="237"/>
      <c r="D94" s="202" t="s">
        <v>148</v>
      </c>
      <c r="E94" s="196" t="s">
        <v>76</v>
      </c>
      <c r="F94" s="197">
        <v>411</v>
      </c>
      <c r="G94" s="197"/>
      <c r="H94" s="198">
        <f t="shared" si="11"/>
        <v>0</v>
      </c>
      <c r="I94" s="199"/>
      <c r="J94" s="200"/>
      <c r="K94" s="256">
        <v>3.869</v>
      </c>
      <c r="L94" s="255">
        <f t="shared" si="13"/>
        <v>1590.159</v>
      </c>
    </row>
    <row r="95" spans="1:12" s="136" customFormat="1" ht="12.75">
      <c r="A95" s="211">
        <f t="shared" si="12"/>
        <v>82</v>
      </c>
      <c r="B95" s="212" t="s">
        <v>265</v>
      </c>
      <c r="C95" s="237"/>
      <c r="D95" s="202" t="s">
        <v>127</v>
      </c>
      <c r="E95" s="196" t="s">
        <v>76</v>
      </c>
      <c r="F95" s="197">
        <v>371</v>
      </c>
      <c r="G95" s="197"/>
      <c r="H95" s="198">
        <f t="shared" si="11"/>
        <v>0</v>
      </c>
      <c r="I95" s="199"/>
      <c r="J95" s="200"/>
      <c r="K95" s="256">
        <v>5.745</v>
      </c>
      <c r="L95" s="255">
        <f t="shared" si="13"/>
        <v>2131.395</v>
      </c>
    </row>
    <row r="96" spans="1:12" s="136" customFormat="1" ht="12.75">
      <c r="A96" s="211">
        <f t="shared" si="12"/>
        <v>83</v>
      </c>
      <c r="B96" s="212" t="s">
        <v>266</v>
      </c>
      <c r="C96" s="237"/>
      <c r="D96" s="202" t="s">
        <v>128</v>
      </c>
      <c r="E96" s="196" t="s">
        <v>76</v>
      </c>
      <c r="F96" s="197">
        <v>295</v>
      </c>
      <c r="G96" s="197"/>
      <c r="H96" s="198">
        <f t="shared" si="11"/>
        <v>0</v>
      </c>
      <c r="I96" s="199"/>
      <c r="J96" s="200"/>
      <c r="K96" s="256">
        <v>7.582</v>
      </c>
      <c r="L96" s="255">
        <f t="shared" si="13"/>
        <v>2236.69</v>
      </c>
    </row>
    <row r="97" spans="1:12" s="136" customFormat="1" ht="12.75">
      <c r="A97" s="211">
        <f t="shared" si="12"/>
        <v>84</v>
      </c>
      <c r="B97" s="212" t="s">
        <v>267</v>
      </c>
      <c r="C97" s="237"/>
      <c r="D97" s="202" t="s">
        <v>129</v>
      </c>
      <c r="E97" s="196" t="s">
        <v>76</v>
      </c>
      <c r="F97" s="197">
        <v>83</v>
      </c>
      <c r="G97" s="197"/>
      <c r="H97" s="198">
        <f t="shared" si="11"/>
        <v>0</v>
      </c>
      <c r="I97" s="199"/>
      <c r="J97" s="200"/>
      <c r="K97" s="256">
        <v>10.259</v>
      </c>
      <c r="L97" s="255">
        <f t="shared" si="13"/>
        <v>851.4970000000001</v>
      </c>
    </row>
    <row r="98" spans="1:12" s="136" customFormat="1" ht="12.75">
      <c r="A98" s="211">
        <f t="shared" si="12"/>
        <v>85</v>
      </c>
      <c r="B98" s="212" t="s">
        <v>268</v>
      </c>
      <c r="C98" s="237"/>
      <c r="D98" s="202" t="s">
        <v>130</v>
      </c>
      <c r="E98" s="196" t="s">
        <v>76</v>
      </c>
      <c r="F98" s="197">
        <v>451</v>
      </c>
      <c r="G98" s="197"/>
      <c r="H98" s="198">
        <f t="shared" si="11"/>
        <v>0</v>
      </c>
      <c r="I98" s="199"/>
      <c r="J98" s="200"/>
      <c r="K98" s="256">
        <v>14.261</v>
      </c>
      <c r="L98" s="255">
        <f t="shared" si="13"/>
        <v>6431.710999999999</v>
      </c>
    </row>
    <row r="99" spans="1:12" s="136" customFormat="1" ht="12.75">
      <c r="A99" s="211">
        <f t="shared" si="12"/>
        <v>86</v>
      </c>
      <c r="B99" s="212" t="s">
        <v>268</v>
      </c>
      <c r="C99" s="237"/>
      <c r="D99" s="202" t="s">
        <v>534</v>
      </c>
      <c r="E99" s="196" t="s">
        <v>76</v>
      </c>
      <c r="F99" s="197">
        <v>72</v>
      </c>
      <c r="G99" s="197"/>
      <c r="H99" s="198">
        <f t="shared" si="11"/>
        <v>0</v>
      </c>
      <c r="I99" s="199"/>
      <c r="J99" s="200"/>
      <c r="K99" s="256">
        <v>17.146</v>
      </c>
      <c r="L99" s="255">
        <f t="shared" si="13"/>
        <v>1234.5120000000002</v>
      </c>
    </row>
    <row r="100" spans="1:10" s="136" customFormat="1" ht="12.75">
      <c r="A100" s="211">
        <f t="shared" si="12"/>
        <v>87</v>
      </c>
      <c r="B100" s="212" t="s">
        <v>269</v>
      </c>
      <c r="C100" s="237"/>
      <c r="D100" s="202" t="s">
        <v>200</v>
      </c>
      <c r="E100" s="196" t="s">
        <v>76</v>
      </c>
      <c r="F100" s="197">
        <f>SUM(F90:F94)</f>
        <v>2206</v>
      </c>
      <c r="G100" s="197"/>
      <c r="H100" s="198">
        <f t="shared" si="11"/>
        <v>0</v>
      </c>
      <c r="I100" s="199"/>
      <c r="J100" s="200"/>
    </row>
    <row r="101" spans="1:10" s="136" customFormat="1" ht="12.75">
      <c r="A101" s="211">
        <f t="shared" si="12"/>
        <v>88</v>
      </c>
      <c r="B101" s="212" t="s">
        <v>270</v>
      </c>
      <c r="C101" s="237"/>
      <c r="D101" s="202" t="s">
        <v>201</v>
      </c>
      <c r="E101" s="196" t="s">
        <v>76</v>
      </c>
      <c r="F101" s="197">
        <f>SUM(F95:F98)</f>
        <v>1200</v>
      </c>
      <c r="G101" s="197"/>
      <c r="H101" s="198">
        <f t="shared" si="11"/>
        <v>0</v>
      </c>
      <c r="I101" s="199"/>
      <c r="J101" s="200"/>
    </row>
    <row r="102" spans="1:10" s="136" customFormat="1" ht="12.75">
      <c r="A102" s="211">
        <f t="shared" si="12"/>
        <v>89</v>
      </c>
      <c r="B102" s="212" t="s">
        <v>325</v>
      </c>
      <c r="C102" s="237"/>
      <c r="D102" s="202" t="s">
        <v>429</v>
      </c>
      <c r="E102" s="196" t="s">
        <v>76</v>
      </c>
      <c r="F102" s="197">
        <f>SUM(F100:F101)</f>
        <v>3406</v>
      </c>
      <c r="G102" s="197"/>
      <c r="H102" s="198">
        <f t="shared" si="11"/>
        <v>0</v>
      </c>
      <c r="I102" s="199"/>
      <c r="J102" s="200"/>
    </row>
    <row r="103" spans="1:10" s="136" customFormat="1" ht="12.75">
      <c r="A103" s="211">
        <f t="shared" si="12"/>
        <v>90</v>
      </c>
      <c r="B103" s="212" t="s">
        <v>271</v>
      </c>
      <c r="C103" s="237"/>
      <c r="D103" s="202" t="s">
        <v>395</v>
      </c>
      <c r="E103" s="196" t="s">
        <v>66</v>
      </c>
      <c r="F103" s="197">
        <v>4</v>
      </c>
      <c r="G103" s="197"/>
      <c r="H103" s="198">
        <f t="shared" si="11"/>
        <v>0</v>
      </c>
      <c r="I103" s="199"/>
      <c r="J103" s="200"/>
    </row>
    <row r="104" spans="1:10" s="136" customFormat="1" ht="12.75">
      <c r="A104" s="211">
        <f t="shared" si="12"/>
        <v>91</v>
      </c>
      <c r="B104" s="212" t="s">
        <v>271</v>
      </c>
      <c r="C104" s="237"/>
      <c r="D104" s="202" t="s">
        <v>396</v>
      </c>
      <c r="E104" s="196" t="s">
        <v>66</v>
      </c>
      <c r="F104" s="197">
        <v>2</v>
      </c>
      <c r="G104" s="197"/>
      <c r="H104" s="198">
        <f t="shared" si="11"/>
        <v>0</v>
      </c>
      <c r="I104" s="199"/>
      <c r="J104" s="200"/>
    </row>
    <row r="105" spans="1:10" s="136" customFormat="1" ht="12.75">
      <c r="A105" s="211">
        <f t="shared" si="12"/>
        <v>92</v>
      </c>
      <c r="B105" s="212" t="s">
        <v>271</v>
      </c>
      <c r="C105" s="237"/>
      <c r="D105" s="202" t="s">
        <v>164</v>
      </c>
      <c r="E105" s="196" t="s">
        <v>66</v>
      </c>
      <c r="F105" s="197">
        <v>2</v>
      </c>
      <c r="G105" s="197"/>
      <c r="H105" s="198">
        <f t="shared" si="11"/>
        <v>0</v>
      </c>
      <c r="I105" s="199"/>
      <c r="J105" s="200"/>
    </row>
    <row r="106" spans="1:10" s="136" customFormat="1" ht="12.75">
      <c r="A106" s="211">
        <f t="shared" si="12"/>
        <v>93</v>
      </c>
      <c r="B106" s="212" t="s">
        <v>271</v>
      </c>
      <c r="C106" s="237"/>
      <c r="D106" s="202" t="s">
        <v>165</v>
      </c>
      <c r="E106" s="196" t="s">
        <v>66</v>
      </c>
      <c r="F106" s="197">
        <v>8</v>
      </c>
      <c r="G106" s="197"/>
      <c r="H106" s="198">
        <f t="shared" si="11"/>
        <v>0</v>
      </c>
      <c r="I106" s="199"/>
      <c r="J106" s="200"/>
    </row>
    <row r="107" spans="1:10" s="136" customFormat="1" ht="12.75">
      <c r="A107" s="211">
        <f t="shared" si="12"/>
        <v>94</v>
      </c>
      <c r="B107" s="212" t="s">
        <v>271</v>
      </c>
      <c r="C107" s="237"/>
      <c r="D107" s="202" t="s">
        <v>166</v>
      </c>
      <c r="E107" s="196" t="s">
        <v>66</v>
      </c>
      <c r="F107" s="197">
        <v>8</v>
      </c>
      <c r="G107" s="197"/>
      <c r="H107" s="198">
        <f t="shared" si="11"/>
        <v>0</v>
      </c>
      <c r="I107" s="199"/>
      <c r="J107" s="200"/>
    </row>
    <row r="108" spans="1:10" s="136" customFormat="1" ht="12.75">
      <c r="A108" s="211">
        <f t="shared" si="12"/>
        <v>95</v>
      </c>
      <c r="B108" s="212" t="s">
        <v>271</v>
      </c>
      <c r="C108" s="237"/>
      <c r="D108" s="202" t="s">
        <v>167</v>
      </c>
      <c r="E108" s="196" t="s">
        <v>66</v>
      </c>
      <c r="F108" s="197">
        <v>8</v>
      </c>
      <c r="G108" s="197"/>
      <c r="H108" s="198">
        <f t="shared" si="11"/>
        <v>0</v>
      </c>
      <c r="I108" s="199"/>
      <c r="J108" s="200"/>
    </row>
    <row r="109" spans="1:10" s="136" customFormat="1" ht="12.75">
      <c r="A109" s="211">
        <f t="shared" si="12"/>
        <v>96</v>
      </c>
      <c r="B109" s="212" t="s">
        <v>271</v>
      </c>
      <c r="C109" s="237"/>
      <c r="D109" s="202" t="s">
        <v>389</v>
      </c>
      <c r="E109" s="196" t="s">
        <v>66</v>
      </c>
      <c r="F109" s="197">
        <v>4</v>
      </c>
      <c r="G109" s="197"/>
      <c r="H109" s="198">
        <f t="shared" si="11"/>
        <v>0</v>
      </c>
      <c r="I109" s="199"/>
      <c r="J109" s="200"/>
    </row>
    <row r="110" spans="1:10" s="136" customFormat="1" ht="12.75">
      <c r="A110" s="211">
        <f t="shared" si="12"/>
        <v>97</v>
      </c>
      <c r="B110" s="212" t="s">
        <v>271</v>
      </c>
      <c r="C110" s="237"/>
      <c r="D110" s="202" t="s">
        <v>168</v>
      </c>
      <c r="E110" s="196" t="s">
        <v>66</v>
      </c>
      <c r="F110" s="197">
        <v>16</v>
      </c>
      <c r="G110" s="197"/>
      <c r="H110" s="198">
        <f t="shared" si="11"/>
        <v>0</v>
      </c>
      <c r="I110" s="199"/>
      <c r="J110" s="200"/>
    </row>
    <row r="111" spans="1:10" s="136" customFormat="1" ht="12.75">
      <c r="A111" s="211">
        <f t="shared" si="12"/>
        <v>98</v>
      </c>
      <c r="B111" s="212" t="s">
        <v>272</v>
      </c>
      <c r="C111" s="237"/>
      <c r="D111" s="202" t="s">
        <v>150</v>
      </c>
      <c r="E111" s="196" t="s">
        <v>66</v>
      </c>
      <c r="F111" s="197">
        <f>(SUM(F103:F109)+20)</f>
        <v>56</v>
      </c>
      <c r="G111" s="197"/>
      <c r="H111" s="198">
        <f t="shared" si="11"/>
        <v>0</v>
      </c>
      <c r="I111" s="199"/>
      <c r="J111" s="200"/>
    </row>
    <row r="112" spans="1:10" s="136" customFormat="1" ht="12.75">
      <c r="A112" s="211">
        <f t="shared" si="12"/>
        <v>99</v>
      </c>
      <c r="B112" s="212" t="s">
        <v>273</v>
      </c>
      <c r="C112" s="237"/>
      <c r="D112" s="202" t="s">
        <v>169</v>
      </c>
      <c r="E112" s="196" t="s">
        <v>66</v>
      </c>
      <c r="F112" s="197">
        <f>F110+20</f>
        <v>36</v>
      </c>
      <c r="G112" s="197"/>
      <c r="H112" s="198">
        <f t="shared" si="11"/>
        <v>0</v>
      </c>
      <c r="I112" s="199"/>
      <c r="J112" s="200"/>
    </row>
    <row r="113" spans="1:10" s="136" customFormat="1" ht="12.75">
      <c r="A113" s="211">
        <f t="shared" si="12"/>
        <v>100</v>
      </c>
      <c r="B113" s="212" t="s">
        <v>271</v>
      </c>
      <c r="C113" s="237"/>
      <c r="D113" s="202" t="s">
        <v>398</v>
      </c>
      <c r="E113" s="196" t="s">
        <v>66</v>
      </c>
      <c r="F113" s="197">
        <v>72</v>
      </c>
      <c r="G113" s="197"/>
      <c r="H113" s="198">
        <f t="shared" si="11"/>
        <v>0</v>
      </c>
      <c r="I113" s="199"/>
      <c r="J113" s="200"/>
    </row>
    <row r="114" spans="1:10" s="136" customFormat="1" ht="12.75">
      <c r="A114" s="211">
        <f t="shared" si="12"/>
        <v>101</v>
      </c>
      <c r="B114" s="212" t="s">
        <v>271</v>
      </c>
      <c r="C114" s="237"/>
      <c r="D114" s="202" t="s">
        <v>399</v>
      </c>
      <c r="E114" s="196" t="s">
        <v>66</v>
      </c>
      <c r="F114" s="197">
        <v>42</v>
      </c>
      <c r="G114" s="197"/>
      <c r="H114" s="198">
        <f t="shared" si="11"/>
        <v>0</v>
      </c>
      <c r="I114" s="199"/>
      <c r="J114" s="200"/>
    </row>
    <row r="115" spans="1:10" s="136" customFormat="1" ht="12.75">
      <c r="A115" s="211">
        <f t="shared" si="12"/>
        <v>102</v>
      </c>
      <c r="B115" s="212" t="s">
        <v>326</v>
      </c>
      <c r="C115" s="228"/>
      <c r="D115" s="202" t="s">
        <v>182</v>
      </c>
      <c r="E115" s="196" t="s">
        <v>81</v>
      </c>
      <c r="F115" s="197">
        <v>1</v>
      </c>
      <c r="G115" s="197"/>
      <c r="H115" s="198">
        <f>F115*G115</f>
        <v>0</v>
      </c>
      <c r="I115" s="199"/>
      <c r="J115" s="200"/>
    </row>
    <row r="116" spans="1:10" s="136" customFormat="1" ht="20">
      <c r="A116" s="211">
        <f t="shared" si="12"/>
        <v>103</v>
      </c>
      <c r="B116" s="212" t="s">
        <v>86</v>
      </c>
      <c r="C116" s="228"/>
      <c r="D116" s="202" t="s">
        <v>177</v>
      </c>
      <c r="E116" s="196" t="s">
        <v>87</v>
      </c>
      <c r="F116" s="197">
        <v>175</v>
      </c>
      <c r="G116" s="197"/>
      <c r="H116" s="198">
        <f>F116*G116</f>
        <v>0</v>
      </c>
      <c r="I116" s="199"/>
      <c r="J116" s="200"/>
    </row>
    <row r="117" spans="1:10" s="136" customFormat="1" ht="12.75">
      <c r="A117" s="211">
        <f t="shared" si="12"/>
        <v>104</v>
      </c>
      <c r="B117" s="212" t="s">
        <v>131</v>
      </c>
      <c r="C117" s="228"/>
      <c r="D117" s="202" t="s">
        <v>614</v>
      </c>
      <c r="E117" s="196" t="s">
        <v>609</v>
      </c>
      <c r="F117" s="197">
        <f>(SUM(L90:L99)+50)/1000</f>
        <v>18.156978</v>
      </c>
      <c r="G117" s="197"/>
      <c r="H117" s="198">
        <f>F117*G117</f>
        <v>0</v>
      </c>
      <c r="I117" s="199"/>
      <c r="J117" s="200"/>
    </row>
    <row r="118" spans="1:11" s="136" customFormat="1" ht="13">
      <c r="A118" s="233"/>
      <c r="B118" s="221" t="s">
        <v>67</v>
      </c>
      <c r="C118" s="250"/>
      <c r="D118" s="223" t="s">
        <v>96</v>
      </c>
      <c r="E118" s="233"/>
      <c r="F118" s="234"/>
      <c r="G118" s="225"/>
      <c r="H118" s="226">
        <f>SUM(H90:H117)</f>
        <v>0</v>
      </c>
      <c r="I118" s="199"/>
      <c r="J118" s="200"/>
      <c r="K118" s="136" t="e">
        <f>H118/$M$3</f>
        <v>#DIV/0!</v>
      </c>
    </row>
    <row r="119" spans="1:10" s="136" customFormat="1" ht="13">
      <c r="A119" s="214" t="s">
        <v>65</v>
      </c>
      <c r="B119" s="215" t="s">
        <v>97</v>
      </c>
      <c r="C119" s="216"/>
      <c r="D119" s="217" t="s">
        <v>98</v>
      </c>
      <c r="E119" s="233"/>
      <c r="F119" s="235"/>
      <c r="G119" s="235"/>
      <c r="H119" s="236"/>
      <c r="I119" s="199"/>
      <c r="J119" s="200"/>
    </row>
    <row r="120" spans="1:10" s="136" customFormat="1" ht="13">
      <c r="A120" s="211"/>
      <c r="B120" s="212"/>
      <c r="C120" s="237"/>
      <c r="D120" s="238" t="s">
        <v>509</v>
      </c>
      <c r="E120" s="239">
        <v>1</v>
      </c>
      <c r="F120" s="213"/>
      <c r="G120" s="197"/>
      <c r="H120" s="240">
        <f aca="true" t="shared" si="14" ref="H120:H183">F120*G120</f>
        <v>0</v>
      </c>
      <c r="I120" s="199"/>
      <c r="J120" s="200"/>
    </row>
    <row r="121" spans="1:10" s="136" customFormat="1" ht="12.75">
      <c r="A121" s="211">
        <f>A117+1</f>
        <v>105</v>
      </c>
      <c r="B121" s="212" t="s">
        <v>361</v>
      </c>
      <c r="C121" s="237"/>
      <c r="D121" s="202" t="s">
        <v>476</v>
      </c>
      <c r="E121" s="196" t="s">
        <v>70</v>
      </c>
      <c r="F121" s="197">
        <f>2*E120</f>
        <v>2</v>
      </c>
      <c r="G121" s="197"/>
      <c r="H121" s="198">
        <f t="shared" si="14"/>
        <v>0</v>
      </c>
      <c r="I121" s="199"/>
      <c r="J121" s="200"/>
    </row>
    <row r="122" spans="1:10" s="136" customFormat="1" ht="12.75">
      <c r="A122" s="211">
        <f>A121+1</f>
        <v>106</v>
      </c>
      <c r="B122" s="212" t="s">
        <v>361</v>
      </c>
      <c r="C122" s="237"/>
      <c r="D122" s="202" t="s">
        <v>370</v>
      </c>
      <c r="E122" s="196" t="s">
        <v>70</v>
      </c>
      <c r="F122" s="197">
        <f>2*E120</f>
        <v>2</v>
      </c>
      <c r="G122" s="197"/>
      <c r="H122" s="198">
        <f t="shared" si="14"/>
        <v>0</v>
      </c>
      <c r="I122" s="199"/>
      <c r="J122" s="200"/>
    </row>
    <row r="123" spans="1:10" s="136" customFormat="1" ht="12.75">
      <c r="A123" s="211">
        <f aca="true" t="shared" si="15" ref="A123:A137">A122+1</f>
        <v>107</v>
      </c>
      <c r="B123" s="212" t="s">
        <v>306</v>
      </c>
      <c r="C123" s="237"/>
      <c r="D123" s="202" t="s">
        <v>371</v>
      </c>
      <c r="E123" s="196" t="s">
        <v>70</v>
      </c>
      <c r="F123" s="197">
        <v>3</v>
      </c>
      <c r="G123" s="197"/>
      <c r="H123" s="198">
        <f t="shared" si="14"/>
        <v>0</v>
      </c>
      <c r="I123" s="199"/>
      <c r="J123" s="200"/>
    </row>
    <row r="124" spans="1:14" s="136" customFormat="1" ht="20">
      <c r="A124" s="211">
        <f t="shared" si="15"/>
        <v>108</v>
      </c>
      <c r="B124" s="212" t="s">
        <v>286</v>
      </c>
      <c r="C124" s="237"/>
      <c r="D124" s="202" t="s">
        <v>604</v>
      </c>
      <c r="E124" s="196" t="s">
        <v>70</v>
      </c>
      <c r="F124" s="197">
        <f>1*E120</f>
        <v>1</v>
      </c>
      <c r="G124" s="197"/>
      <c r="H124" s="198">
        <f t="shared" si="14"/>
        <v>0</v>
      </c>
      <c r="I124" s="199"/>
      <c r="J124" s="200"/>
      <c r="M124" s="173">
        <v>6319</v>
      </c>
      <c r="N124" s="136">
        <v>1.3</v>
      </c>
    </row>
    <row r="125" spans="1:10" s="136" customFormat="1" ht="12.75">
      <c r="A125" s="211">
        <f t="shared" si="15"/>
        <v>109</v>
      </c>
      <c r="B125" s="212" t="s">
        <v>287</v>
      </c>
      <c r="C125" s="237"/>
      <c r="D125" s="202" t="s">
        <v>188</v>
      </c>
      <c r="E125" s="196" t="s">
        <v>70</v>
      </c>
      <c r="F125" s="197">
        <f>1*E120</f>
        <v>1</v>
      </c>
      <c r="G125" s="197"/>
      <c r="H125" s="198">
        <f t="shared" si="14"/>
        <v>0</v>
      </c>
      <c r="I125" s="199"/>
      <c r="J125" s="200"/>
    </row>
    <row r="126" spans="1:14" s="136" customFormat="1" ht="20">
      <c r="A126" s="211">
        <f t="shared" si="15"/>
        <v>110</v>
      </c>
      <c r="B126" s="212" t="s">
        <v>288</v>
      </c>
      <c r="C126" s="237"/>
      <c r="D126" s="202" t="s">
        <v>510</v>
      </c>
      <c r="E126" s="196" t="s">
        <v>70</v>
      </c>
      <c r="F126" s="197">
        <f>1*E120</f>
        <v>1</v>
      </c>
      <c r="G126" s="197"/>
      <c r="H126" s="198">
        <f t="shared" si="14"/>
        <v>0</v>
      </c>
      <c r="I126" s="241" t="s">
        <v>477</v>
      </c>
      <c r="J126" s="242" t="s">
        <v>478</v>
      </c>
      <c r="M126" s="136">
        <v>2979</v>
      </c>
      <c r="N126" s="136">
        <v>1.3</v>
      </c>
    </row>
    <row r="127" spans="1:10" s="136" customFormat="1" ht="12.75">
      <c r="A127" s="211">
        <f t="shared" si="15"/>
        <v>111</v>
      </c>
      <c r="B127" s="243" t="s">
        <v>290</v>
      </c>
      <c r="C127" s="237"/>
      <c r="D127" s="202" t="s">
        <v>372</v>
      </c>
      <c r="E127" s="196" t="s">
        <v>70</v>
      </c>
      <c r="F127" s="197">
        <f>1*E120</f>
        <v>1</v>
      </c>
      <c r="G127" s="197"/>
      <c r="H127" s="198">
        <f t="shared" si="14"/>
        <v>0</v>
      </c>
      <c r="I127" s="199"/>
      <c r="J127" s="200"/>
    </row>
    <row r="128" spans="1:10" s="136" customFormat="1" ht="20">
      <c r="A128" s="211">
        <f t="shared" si="15"/>
        <v>112</v>
      </c>
      <c r="B128" s="212" t="s">
        <v>296</v>
      </c>
      <c r="C128" s="237"/>
      <c r="D128" s="202" t="s">
        <v>479</v>
      </c>
      <c r="E128" s="196" t="s">
        <v>70</v>
      </c>
      <c r="F128" s="197">
        <f>2*E120</f>
        <v>2</v>
      </c>
      <c r="G128" s="197"/>
      <c r="H128" s="198">
        <f t="shared" si="14"/>
        <v>0</v>
      </c>
      <c r="I128" s="199"/>
      <c r="J128" s="200"/>
    </row>
    <row r="129" spans="1:10" s="136" customFormat="1" ht="12.75">
      <c r="A129" s="211">
        <f t="shared" si="15"/>
        <v>113</v>
      </c>
      <c r="B129" s="212" t="s">
        <v>285</v>
      </c>
      <c r="C129" s="237"/>
      <c r="D129" s="202" t="s">
        <v>160</v>
      </c>
      <c r="E129" s="196" t="s">
        <v>70</v>
      </c>
      <c r="F129" s="197">
        <f>2*E120</f>
        <v>2</v>
      </c>
      <c r="G129" s="197"/>
      <c r="H129" s="198">
        <f t="shared" si="14"/>
        <v>0</v>
      </c>
      <c r="I129" s="199"/>
      <c r="J129" s="200"/>
    </row>
    <row r="130" spans="1:10" s="136" customFormat="1" ht="12.75">
      <c r="A130" s="211">
        <f t="shared" si="15"/>
        <v>114</v>
      </c>
      <c r="B130" s="212" t="s">
        <v>292</v>
      </c>
      <c r="C130" s="237"/>
      <c r="D130" s="202" t="s">
        <v>161</v>
      </c>
      <c r="E130" s="196" t="s">
        <v>70</v>
      </c>
      <c r="F130" s="197">
        <f>2*E120</f>
        <v>2</v>
      </c>
      <c r="G130" s="197"/>
      <c r="H130" s="198">
        <f t="shared" si="14"/>
        <v>0</v>
      </c>
      <c r="I130" s="199"/>
      <c r="J130" s="200"/>
    </row>
    <row r="131" spans="1:10" s="136" customFormat="1" ht="12.75">
      <c r="A131" s="211">
        <f t="shared" si="15"/>
        <v>115</v>
      </c>
      <c r="B131" s="243" t="s">
        <v>347</v>
      </c>
      <c r="C131" s="237"/>
      <c r="D131" s="202" t="s">
        <v>142</v>
      </c>
      <c r="E131" s="196" t="s">
        <v>70</v>
      </c>
      <c r="F131" s="197">
        <f>1*E120</f>
        <v>1</v>
      </c>
      <c r="G131" s="197"/>
      <c r="H131" s="198">
        <f t="shared" si="14"/>
        <v>0</v>
      </c>
      <c r="I131" s="199"/>
      <c r="J131" s="200"/>
    </row>
    <row r="132" spans="1:10" s="136" customFormat="1" ht="12.75">
      <c r="A132" s="211">
        <f t="shared" si="15"/>
        <v>116</v>
      </c>
      <c r="B132" s="212" t="s">
        <v>305</v>
      </c>
      <c r="C132" s="237"/>
      <c r="D132" s="202" t="s">
        <v>187</v>
      </c>
      <c r="E132" s="196" t="s">
        <v>70</v>
      </c>
      <c r="F132" s="197">
        <f>E120</f>
        <v>1</v>
      </c>
      <c r="G132" s="197"/>
      <c r="H132" s="198">
        <f t="shared" si="14"/>
        <v>0</v>
      </c>
      <c r="I132" s="199"/>
      <c r="J132" s="200"/>
    </row>
    <row r="133" spans="1:10" s="136" customFormat="1" ht="12.75">
      <c r="A133" s="211">
        <f t="shared" si="15"/>
        <v>117</v>
      </c>
      <c r="B133" s="212" t="s">
        <v>294</v>
      </c>
      <c r="C133" s="237"/>
      <c r="D133" s="202" t="s">
        <v>106</v>
      </c>
      <c r="E133" s="196" t="s">
        <v>70</v>
      </c>
      <c r="F133" s="197">
        <f>4*E120</f>
        <v>4</v>
      </c>
      <c r="G133" s="197"/>
      <c r="H133" s="198">
        <f t="shared" si="14"/>
        <v>0</v>
      </c>
      <c r="I133" s="199"/>
      <c r="J133" s="200"/>
    </row>
    <row r="134" spans="1:10" s="136" customFormat="1" ht="12.75">
      <c r="A134" s="211">
        <f t="shared" si="15"/>
        <v>118</v>
      </c>
      <c r="B134" s="212" t="s">
        <v>291</v>
      </c>
      <c r="C134" s="237"/>
      <c r="D134" s="202" t="s">
        <v>107</v>
      </c>
      <c r="E134" s="196" t="s">
        <v>70</v>
      </c>
      <c r="F134" s="197">
        <f>2*E120</f>
        <v>2</v>
      </c>
      <c r="G134" s="197"/>
      <c r="H134" s="198">
        <f t="shared" si="14"/>
        <v>0</v>
      </c>
      <c r="I134" s="199"/>
      <c r="J134" s="200"/>
    </row>
    <row r="135" spans="1:10" s="136" customFormat="1" ht="12.75">
      <c r="A135" s="211">
        <f t="shared" si="15"/>
        <v>119</v>
      </c>
      <c r="B135" s="212" t="s">
        <v>295</v>
      </c>
      <c r="C135" s="237"/>
      <c r="D135" s="202" t="s">
        <v>108</v>
      </c>
      <c r="E135" s="196" t="s">
        <v>70</v>
      </c>
      <c r="F135" s="197">
        <f>2*E120</f>
        <v>2</v>
      </c>
      <c r="G135" s="197"/>
      <c r="H135" s="198">
        <f t="shared" si="14"/>
        <v>0</v>
      </c>
      <c r="I135" s="199"/>
      <c r="J135" s="200"/>
    </row>
    <row r="136" spans="1:10" s="136" customFormat="1" ht="12.75">
      <c r="A136" s="211">
        <f t="shared" si="15"/>
        <v>120</v>
      </c>
      <c r="B136" s="212" t="s">
        <v>285</v>
      </c>
      <c r="C136" s="237"/>
      <c r="D136" s="202" t="s">
        <v>109</v>
      </c>
      <c r="E136" s="196" t="s">
        <v>70</v>
      </c>
      <c r="F136" s="197">
        <f>2*E120</f>
        <v>2</v>
      </c>
      <c r="G136" s="197"/>
      <c r="H136" s="198">
        <f t="shared" si="14"/>
        <v>0</v>
      </c>
      <c r="I136" s="199"/>
      <c r="J136" s="200"/>
    </row>
    <row r="137" spans="1:10" s="136" customFormat="1" ht="12.75">
      <c r="A137" s="211">
        <f t="shared" si="15"/>
        <v>121</v>
      </c>
      <c r="B137" s="212" t="s">
        <v>348</v>
      </c>
      <c r="C137" s="237"/>
      <c r="D137" s="202" t="s">
        <v>159</v>
      </c>
      <c r="E137" s="196" t="s">
        <v>87</v>
      </c>
      <c r="F137" s="197">
        <f>0.5*E120</f>
        <v>0.5</v>
      </c>
      <c r="G137" s="197"/>
      <c r="H137" s="198">
        <f t="shared" si="14"/>
        <v>0</v>
      </c>
      <c r="I137" s="199"/>
      <c r="J137" s="200"/>
    </row>
    <row r="138" spans="1:10" s="136" customFormat="1" ht="13">
      <c r="A138" s="211"/>
      <c r="B138" s="212"/>
      <c r="C138" s="237"/>
      <c r="D138" s="238" t="s">
        <v>511</v>
      </c>
      <c r="E138" s="239">
        <v>1</v>
      </c>
      <c r="F138" s="213"/>
      <c r="G138" s="197"/>
      <c r="H138" s="240">
        <f t="shared" si="14"/>
        <v>0</v>
      </c>
      <c r="I138" s="199"/>
      <c r="J138" s="200"/>
    </row>
    <row r="139" spans="1:10" s="136" customFormat="1" ht="12.75">
      <c r="A139" s="211">
        <f>A137+1</f>
        <v>122</v>
      </c>
      <c r="B139" s="212" t="s">
        <v>361</v>
      </c>
      <c r="C139" s="237"/>
      <c r="D139" s="202" t="s">
        <v>480</v>
      </c>
      <c r="E139" s="196" t="s">
        <v>70</v>
      </c>
      <c r="F139" s="197">
        <f>2*E138</f>
        <v>2</v>
      </c>
      <c r="G139" s="197"/>
      <c r="H139" s="198">
        <f t="shared" si="14"/>
        <v>0</v>
      </c>
      <c r="I139" s="199"/>
      <c r="J139" s="200"/>
    </row>
    <row r="140" spans="1:10" s="136" customFormat="1" ht="12.75">
      <c r="A140" s="211">
        <f>A139+1</f>
        <v>123</v>
      </c>
      <c r="B140" s="212" t="s">
        <v>361</v>
      </c>
      <c r="C140" s="237"/>
      <c r="D140" s="202" t="s">
        <v>481</v>
      </c>
      <c r="E140" s="196" t="s">
        <v>70</v>
      </c>
      <c r="F140" s="197">
        <f>2*E138</f>
        <v>2</v>
      </c>
      <c r="G140" s="197"/>
      <c r="H140" s="198">
        <f t="shared" si="14"/>
        <v>0</v>
      </c>
      <c r="I140" s="199"/>
      <c r="J140" s="200"/>
    </row>
    <row r="141" spans="1:10" s="136" customFormat="1" ht="12.75">
      <c r="A141" s="211">
        <f aca="true" t="shared" si="16" ref="A141:A155">A140+1</f>
        <v>124</v>
      </c>
      <c r="B141" s="212" t="s">
        <v>306</v>
      </c>
      <c r="C141" s="237"/>
      <c r="D141" s="202" t="s">
        <v>351</v>
      </c>
      <c r="E141" s="196" t="s">
        <v>70</v>
      </c>
      <c r="F141" s="197">
        <f>3*E138</f>
        <v>3</v>
      </c>
      <c r="G141" s="197"/>
      <c r="H141" s="198">
        <f t="shared" si="14"/>
        <v>0</v>
      </c>
      <c r="I141" s="199"/>
      <c r="J141" s="200"/>
    </row>
    <row r="142" spans="1:14" s="136" customFormat="1" ht="20">
      <c r="A142" s="211">
        <f t="shared" si="16"/>
        <v>125</v>
      </c>
      <c r="B142" s="212" t="s">
        <v>286</v>
      </c>
      <c r="C142" s="237"/>
      <c r="D142" s="202" t="s">
        <v>605</v>
      </c>
      <c r="E142" s="196" t="s">
        <v>70</v>
      </c>
      <c r="F142" s="197">
        <f>1*E138</f>
        <v>1</v>
      </c>
      <c r="G142" s="197"/>
      <c r="H142" s="198">
        <f t="shared" si="14"/>
        <v>0</v>
      </c>
      <c r="I142" s="199"/>
      <c r="J142" s="200"/>
      <c r="M142" s="173">
        <v>6319</v>
      </c>
      <c r="N142" s="136">
        <v>1.3</v>
      </c>
    </row>
    <row r="143" spans="1:10" s="136" customFormat="1" ht="12.75">
      <c r="A143" s="211">
        <f t="shared" si="16"/>
        <v>126</v>
      </c>
      <c r="B143" s="212" t="s">
        <v>287</v>
      </c>
      <c r="C143" s="237"/>
      <c r="D143" s="202" t="s">
        <v>188</v>
      </c>
      <c r="E143" s="196" t="s">
        <v>70</v>
      </c>
      <c r="F143" s="197">
        <f>1*E138</f>
        <v>1</v>
      </c>
      <c r="G143" s="197"/>
      <c r="H143" s="198">
        <f t="shared" si="14"/>
        <v>0</v>
      </c>
      <c r="I143" s="199"/>
      <c r="J143" s="200"/>
    </row>
    <row r="144" spans="1:14" s="136" customFormat="1" ht="20">
      <c r="A144" s="211">
        <f t="shared" si="16"/>
        <v>127</v>
      </c>
      <c r="B144" s="212" t="s">
        <v>288</v>
      </c>
      <c r="C144" s="237"/>
      <c r="D144" s="202" t="s">
        <v>512</v>
      </c>
      <c r="E144" s="196" t="s">
        <v>70</v>
      </c>
      <c r="F144" s="197">
        <f>1*E138</f>
        <v>1</v>
      </c>
      <c r="G144" s="197"/>
      <c r="H144" s="198">
        <f t="shared" si="14"/>
        <v>0</v>
      </c>
      <c r="I144" s="241" t="s">
        <v>477</v>
      </c>
      <c r="J144" s="242" t="s">
        <v>478</v>
      </c>
      <c r="M144" s="136">
        <v>2979</v>
      </c>
      <c r="N144" s="136">
        <v>1.3</v>
      </c>
    </row>
    <row r="145" spans="1:14" s="136" customFormat="1" ht="12.75">
      <c r="A145" s="211">
        <f t="shared" si="16"/>
        <v>128</v>
      </c>
      <c r="B145" s="243" t="s">
        <v>290</v>
      </c>
      <c r="C145" s="237"/>
      <c r="D145" s="202" t="s">
        <v>521</v>
      </c>
      <c r="E145" s="196" t="s">
        <v>70</v>
      </c>
      <c r="F145" s="197">
        <f>1*E138</f>
        <v>1</v>
      </c>
      <c r="G145" s="197"/>
      <c r="H145" s="198">
        <f t="shared" si="14"/>
        <v>0</v>
      </c>
      <c r="I145" s="199"/>
      <c r="J145" s="200"/>
      <c r="M145" s="136">
        <v>1771</v>
      </c>
      <c r="N145" s="136">
        <v>1.3</v>
      </c>
    </row>
    <row r="146" spans="1:10" s="136" customFormat="1" ht="20">
      <c r="A146" s="211">
        <f t="shared" si="16"/>
        <v>129</v>
      </c>
      <c r="B146" s="243" t="s">
        <v>296</v>
      </c>
      <c r="C146" s="237"/>
      <c r="D146" s="202" t="s">
        <v>482</v>
      </c>
      <c r="E146" s="196" t="s">
        <v>70</v>
      </c>
      <c r="F146" s="197">
        <f>2*E138</f>
        <v>2</v>
      </c>
      <c r="G146" s="197"/>
      <c r="H146" s="198">
        <f t="shared" si="14"/>
        <v>0</v>
      </c>
      <c r="I146" s="199"/>
      <c r="J146" s="200"/>
    </row>
    <row r="147" spans="1:10" s="136" customFormat="1" ht="12.75">
      <c r="A147" s="211">
        <f t="shared" si="16"/>
        <v>130</v>
      </c>
      <c r="B147" s="212" t="s">
        <v>285</v>
      </c>
      <c r="C147" s="237"/>
      <c r="D147" s="202" t="s">
        <v>160</v>
      </c>
      <c r="E147" s="196" t="s">
        <v>70</v>
      </c>
      <c r="F147" s="197">
        <f>2*E138</f>
        <v>2</v>
      </c>
      <c r="G147" s="197"/>
      <c r="H147" s="198">
        <f t="shared" si="14"/>
        <v>0</v>
      </c>
      <c r="I147" s="199"/>
      <c r="J147" s="200"/>
    </row>
    <row r="148" spans="1:10" s="136" customFormat="1" ht="12.75">
      <c r="A148" s="211">
        <f t="shared" si="16"/>
        <v>131</v>
      </c>
      <c r="B148" s="212" t="s">
        <v>292</v>
      </c>
      <c r="C148" s="237"/>
      <c r="D148" s="202" t="s">
        <v>161</v>
      </c>
      <c r="E148" s="196" t="s">
        <v>70</v>
      </c>
      <c r="F148" s="197">
        <f>2*E138</f>
        <v>2</v>
      </c>
      <c r="G148" s="197"/>
      <c r="H148" s="198">
        <f t="shared" si="14"/>
        <v>0</v>
      </c>
      <c r="I148" s="199"/>
      <c r="J148" s="200"/>
    </row>
    <row r="149" spans="1:10" s="136" customFormat="1" ht="12.75">
      <c r="A149" s="211">
        <f t="shared" si="16"/>
        <v>132</v>
      </c>
      <c r="B149" s="243" t="s">
        <v>347</v>
      </c>
      <c r="C149" s="237"/>
      <c r="D149" s="202" t="s">
        <v>142</v>
      </c>
      <c r="E149" s="196" t="s">
        <v>70</v>
      </c>
      <c r="F149" s="197">
        <f>1*E138</f>
        <v>1</v>
      </c>
      <c r="G149" s="197"/>
      <c r="H149" s="198">
        <f t="shared" si="14"/>
        <v>0</v>
      </c>
      <c r="I149" s="199"/>
      <c r="J149" s="200"/>
    </row>
    <row r="150" spans="1:10" s="136" customFormat="1" ht="12.75">
      <c r="A150" s="211">
        <f t="shared" si="16"/>
        <v>133</v>
      </c>
      <c r="B150" s="212" t="s">
        <v>305</v>
      </c>
      <c r="C150" s="237"/>
      <c r="D150" s="202" t="s">
        <v>187</v>
      </c>
      <c r="E150" s="196" t="s">
        <v>70</v>
      </c>
      <c r="F150" s="197">
        <f>E138</f>
        <v>1</v>
      </c>
      <c r="G150" s="197"/>
      <c r="H150" s="198">
        <f t="shared" si="14"/>
        <v>0</v>
      </c>
      <c r="I150" s="199"/>
      <c r="J150" s="200"/>
    </row>
    <row r="151" spans="1:10" s="136" customFormat="1" ht="12.75">
      <c r="A151" s="211">
        <f t="shared" si="16"/>
        <v>134</v>
      </c>
      <c r="B151" s="212" t="s">
        <v>294</v>
      </c>
      <c r="C151" s="237"/>
      <c r="D151" s="202" t="s">
        <v>106</v>
      </c>
      <c r="E151" s="196" t="s">
        <v>70</v>
      </c>
      <c r="F151" s="197">
        <f>4*E138</f>
        <v>4</v>
      </c>
      <c r="G151" s="197"/>
      <c r="H151" s="198">
        <f t="shared" si="14"/>
        <v>0</v>
      </c>
      <c r="I151" s="199"/>
      <c r="J151" s="200"/>
    </row>
    <row r="152" spans="1:10" s="136" customFormat="1" ht="12.75">
      <c r="A152" s="211">
        <f t="shared" si="16"/>
        <v>135</v>
      </c>
      <c r="B152" s="212" t="s">
        <v>291</v>
      </c>
      <c r="C152" s="237"/>
      <c r="D152" s="202" t="s">
        <v>107</v>
      </c>
      <c r="E152" s="196" t="s">
        <v>70</v>
      </c>
      <c r="F152" s="197">
        <f>2*E138</f>
        <v>2</v>
      </c>
      <c r="G152" s="197"/>
      <c r="H152" s="198">
        <f t="shared" si="14"/>
        <v>0</v>
      </c>
      <c r="I152" s="199"/>
      <c r="J152" s="200"/>
    </row>
    <row r="153" spans="1:10" s="136" customFormat="1" ht="12.75">
      <c r="A153" s="211">
        <f t="shared" si="16"/>
        <v>136</v>
      </c>
      <c r="B153" s="212" t="s">
        <v>295</v>
      </c>
      <c r="C153" s="237"/>
      <c r="D153" s="202" t="s">
        <v>108</v>
      </c>
      <c r="E153" s="196" t="s">
        <v>70</v>
      </c>
      <c r="F153" s="197">
        <f>2*E138</f>
        <v>2</v>
      </c>
      <c r="G153" s="197"/>
      <c r="H153" s="198">
        <f t="shared" si="14"/>
        <v>0</v>
      </c>
      <c r="I153" s="199"/>
      <c r="J153" s="200"/>
    </row>
    <row r="154" spans="1:10" s="136" customFormat="1" ht="12.75">
      <c r="A154" s="211">
        <f t="shared" si="16"/>
        <v>137</v>
      </c>
      <c r="B154" s="212" t="s">
        <v>285</v>
      </c>
      <c r="C154" s="237"/>
      <c r="D154" s="202" t="s">
        <v>109</v>
      </c>
      <c r="E154" s="196" t="s">
        <v>70</v>
      </c>
      <c r="F154" s="197">
        <f>2*E138</f>
        <v>2</v>
      </c>
      <c r="G154" s="197"/>
      <c r="H154" s="198">
        <f t="shared" si="14"/>
        <v>0</v>
      </c>
      <c r="I154" s="199"/>
      <c r="J154" s="200"/>
    </row>
    <row r="155" spans="1:10" s="136" customFormat="1" ht="12.75">
      <c r="A155" s="211">
        <f t="shared" si="16"/>
        <v>138</v>
      </c>
      <c r="B155" s="212" t="s">
        <v>348</v>
      </c>
      <c r="C155" s="237"/>
      <c r="D155" s="202" t="s">
        <v>159</v>
      </c>
      <c r="E155" s="196" t="s">
        <v>87</v>
      </c>
      <c r="F155" s="197">
        <f>0.5*E138</f>
        <v>0.5</v>
      </c>
      <c r="G155" s="197"/>
      <c r="H155" s="198">
        <f t="shared" si="14"/>
        <v>0</v>
      </c>
      <c r="I155" s="199"/>
      <c r="J155" s="200"/>
    </row>
    <row r="156" spans="1:10" s="136" customFormat="1" ht="13">
      <c r="A156" s="211"/>
      <c r="B156" s="212"/>
      <c r="C156" s="237"/>
      <c r="D156" s="238" t="s">
        <v>513</v>
      </c>
      <c r="E156" s="239">
        <v>2</v>
      </c>
      <c r="F156" s="213"/>
      <c r="G156" s="197"/>
      <c r="H156" s="240">
        <f t="shared" si="14"/>
        <v>0</v>
      </c>
      <c r="I156" s="199"/>
      <c r="J156" s="200"/>
    </row>
    <row r="157" spans="1:10" s="136" customFormat="1" ht="12.75">
      <c r="A157" s="211">
        <f>A155+1</f>
        <v>139</v>
      </c>
      <c r="B157" s="212" t="s">
        <v>361</v>
      </c>
      <c r="C157" s="237"/>
      <c r="D157" s="202" t="s">
        <v>195</v>
      </c>
      <c r="E157" s="196" t="s">
        <v>70</v>
      </c>
      <c r="F157" s="197">
        <f>2*E156</f>
        <v>4</v>
      </c>
      <c r="G157" s="197"/>
      <c r="H157" s="198">
        <f t="shared" si="14"/>
        <v>0</v>
      </c>
      <c r="I157" s="199"/>
      <c r="J157" s="200"/>
    </row>
    <row r="158" spans="1:10" s="136" customFormat="1" ht="12.75">
      <c r="A158" s="211">
        <f>A157+1</f>
        <v>140</v>
      </c>
      <c r="B158" s="212"/>
      <c r="C158" s="237"/>
      <c r="D158" s="202" t="s">
        <v>342</v>
      </c>
      <c r="E158" s="196" t="s">
        <v>70</v>
      </c>
      <c r="F158" s="197">
        <f>2*E156</f>
        <v>4</v>
      </c>
      <c r="G158" s="197"/>
      <c r="H158" s="198">
        <f t="shared" si="14"/>
        <v>0</v>
      </c>
      <c r="I158" s="199"/>
      <c r="J158" s="200"/>
    </row>
    <row r="159" spans="1:10" s="136" customFormat="1" ht="12.75">
      <c r="A159" s="211">
        <f aca="true" t="shared" si="17" ref="A159:A173">A158+1</f>
        <v>141</v>
      </c>
      <c r="B159" s="212" t="s">
        <v>306</v>
      </c>
      <c r="C159" s="237"/>
      <c r="D159" s="202" t="s">
        <v>196</v>
      </c>
      <c r="E159" s="196" t="s">
        <v>70</v>
      </c>
      <c r="F159" s="197">
        <f>3*E156</f>
        <v>6</v>
      </c>
      <c r="G159" s="197"/>
      <c r="H159" s="198">
        <f t="shared" si="14"/>
        <v>0</v>
      </c>
      <c r="I159" s="199"/>
      <c r="J159" s="200"/>
    </row>
    <row r="160" spans="1:14" s="136" customFormat="1" ht="20">
      <c r="A160" s="211">
        <f t="shared" si="17"/>
        <v>142</v>
      </c>
      <c r="B160" s="212" t="s">
        <v>286</v>
      </c>
      <c r="C160" s="237"/>
      <c r="D160" s="202" t="s">
        <v>606</v>
      </c>
      <c r="E160" s="196" t="s">
        <v>70</v>
      </c>
      <c r="F160" s="197">
        <f>1*E156</f>
        <v>2</v>
      </c>
      <c r="G160" s="197"/>
      <c r="H160" s="198">
        <f t="shared" si="14"/>
        <v>0</v>
      </c>
      <c r="I160" s="199"/>
      <c r="J160" s="200"/>
      <c r="M160" s="173">
        <v>6319</v>
      </c>
      <c r="N160" s="136">
        <v>1.3</v>
      </c>
    </row>
    <row r="161" spans="1:10" s="136" customFormat="1" ht="12.75">
      <c r="A161" s="211">
        <f t="shared" si="17"/>
        <v>143</v>
      </c>
      <c r="B161" s="212" t="s">
        <v>287</v>
      </c>
      <c r="C161" s="237"/>
      <c r="D161" s="202" t="s">
        <v>188</v>
      </c>
      <c r="E161" s="196" t="s">
        <v>70</v>
      </c>
      <c r="F161" s="197">
        <f>1*E156</f>
        <v>2</v>
      </c>
      <c r="G161" s="197"/>
      <c r="H161" s="198">
        <f t="shared" si="14"/>
        <v>0</v>
      </c>
      <c r="I161" s="199"/>
      <c r="J161" s="200"/>
    </row>
    <row r="162" spans="1:14" s="136" customFormat="1" ht="20">
      <c r="A162" s="211">
        <f t="shared" si="17"/>
        <v>144</v>
      </c>
      <c r="B162" s="212" t="s">
        <v>288</v>
      </c>
      <c r="C162" s="237"/>
      <c r="D162" s="202" t="s">
        <v>506</v>
      </c>
      <c r="E162" s="196" t="s">
        <v>70</v>
      </c>
      <c r="F162" s="197">
        <f>1*E156</f>
        <v>2</v>
      </c>
      <c r="G162" s="197"/>
      <c r="H162" s="198">
        <f t="shared" si="14"/>
        <v>0</v>
      </c>
      <c r="I162" s="241" t="s">
        <v>477</v>
      </c>
      <c r="J162" s="242" t="s">
        <v>478</v>
      </c>
      <c r="M162" s="136">
        <v>1955</v>
      </c>
      <c r="N162" s="136">
        <v>1.3</v>
      </c>
    </row>
    <row r="163" spans="1:14" s="136" customFormat="1" ht="12.75">
      <c r="A163" s="211">
        <f t="shared" si="17"/>
        <v>145</v>
      </c>
      <c r="B163" s="243" t="s">
        <v>290</v>
      </c>
      <c r="C163" s="237"/>
      <c r="D163" s="202" t="s">
        <v>197</v>
      </c>
      <c r="E163" s="196" t="s">
        <v>70</v>
      </c>
      <c r="F163" s="197">
        <f>1*E156</f>
        <v>2</v>
      </c>
      <c r="G163" s="197"/>
      <c r="H163" s="198">
        <f t="shared" si="14"/>
        <v>0</v>
      </c>
      <c r="I163" s="199"/>
      <c r="J163" s="200"/>
      <c r="M163" s="136">
        <v>478</v>
      </c>
      <c r="N163" s="136">
        <v>1.3</v>
      </c>
    </row>
    <row r="164" spans="1:10" s="136" customFormat="1" ht="20">
      <c r="A164" s="211">
        <f t="shared" si="17"/>
        <v>146</v>
      </c>
      <c r="B164" s="243" t="s">
        <v>296</v>
      </c>
      <c r="C164" s="237"/>
      <c r="D164" s="202" t="s">
        <v>198</v>
      </c>
      <c r="E164" s="196" t="s">
        <v>70</v>
      </c>
      <c r="F164" s="197">
        <f>2*E156</f>
        <v>4</v>
      </c>
      <c r="G164" s="197"/>
      <c r="H164" s="198">
        <f t="shared" si="14"/>
        <v>0</v>
      </c>
      <c r="I164" s="199"/>
      <c r="J164" s="200"/>
    </row>
    <row r="165" spans="1:10" s="136" customFormat="1" ht="12.75">
      <c r="A165" s="211">
        <f t="shared" si="17"/>
        <v>147</v>
      </c>
      <c r="B165" s="212" t="s">
        <v>285</v>
      </c>
      <c r="C165" s="237"/>
      <c r="D165" s="202" t="s">
        <v>160</v>
      </c>
      <c r="E165" s="196" t="s">
        <v>70</v>
      </c>
      <c r="F165" s="197">
        <f>2*E156</f>
        <v>4</v>
      </c>
      <c r="G165" s="197"/>
      <c r="H165" s="198">
        <f t="shared" si="14"/>
        <v>0</v>
      </c>
      <c r="I165" s="199"/>
      <c r="J165" s="200"/>
    </row>
    <row r="166" spans="1:10" s="136" customFormat="1" ht="12.75">
      <c r="A166" s="211">
        <f t="shared" si="17"/>
        <v>148</v>
      </c>
      <c r="B166" s="212" t="s">
        <v>292</v>
      </c>
      <c r="C166" s="237"/>
      <c r="D166" s="202" t="s">
        <v>161</v>
      </c>
      <c r="E166" s="196" t="s">
        <v>70</v>
      </c>
      <c r="F166" s="197">
        <f>2*E156</f>
        <v>4</v>
      </c>
      <c r="G166" s="197"/>
      <c r="H166" s="198">
        <f t="shared" si="14"/>
        <v>0</v>
      </c>
      <c r="I166" s="199"/>
      <c r="J166" s="200"/>
    </row>
    <row r="167" spans="1:10" s="136" customFormat="1" ht="12.75">
      <c r="A167" s="211">
        <f t="shared" si="17"/>
        <v>149</v>
      </c>
      <c r="B167" s="243" t="s">
        <v>347</v>
      </c>
      <c r="C167" s="237"/>
      <c r="D167" s="202" t="s">
        <v>142</v>
      </c>
      <c r="E167" s="196" t="s">
        <v>70</v>
      </c>
      <c r="F167" s="197">
        <f>1*E156</f>
        <v>2</v>
      </c>
      <c r="G167" s="197"/>
      <c r="H167" s="198">
        <f t="shared" si="14"/>
        <v>0</v>
      </c>
      <c r="I167" s="199"/>
      <c r="J167" s="200"/>
    </row>
    <row r="168" spans="1:10" s="136" customFormat="1" ht="12.75">
      <c r="A168" s="211">
        <f t="shared" si="17"/>
        <v>150</v>
      </c>
      <c r="B168" s="212" t="s">
        <v>305</v>
      </c>
      <c r="C168" s="237"/>
      <c r="D168" s="202" t="s">
        <v>187</v>
      </c>
      <c r="E168" s="196" t="s">
        <v>70</v>
      </c>
      <c r="F168" s="197">
        <f>E156</f>
        <v>2</v>
      </c>
      <c r="G168" s="197"/>
      <c r="H168" s="198">
        <f t="shared" si="14"/>
        <v>0</v>
      </c>
      <c r="I168" s="199"/>
      <c r="J168" s="200"/>
    </row>
    <row r="169" spans="1:10" s="136" customFormat="1" ht="12.75">
      <c r="A169" s="211">
        <f t="shared" si="17"/>
        <v>151</v>
      </c>
      <c r="B169" s="212" t="s">
        <v>294</v>
      </c>
      <c r="C169" s="237"/>
      <c r="D169" s="202" t="s">
        <v>106</v>
      </c>
      <c r="E169" s="196" t="s">
        <v>70</v>
      </c>
      <c r="F169" s="197">
        <f>4*E156</f>
        <v>8</v>
      </c>
      <c r="G169" s="197"/>
      <c r="H169" s="198">
        <f t="shared" si="14"/>
        <v>0</v>
      </c>
      <c r="I169" s="199"/>
      <c r="J169" s="200"/>
    </row>
    <row r="170" spans="1:10" s="136" customFormat="1" ht="12.75">
      <c r="A170" s="211">
        <f t="shared" si="17"/>
        <v>152</v>
      </c>
      <c r="B170" s="212" t="s">
        <v>291</v>
      </c>
      <c r="C170" s="237"/>
      <c r="D170" s="202" t="s">
        <v>107</v>
      </c>
      <c r="E170" s="196" t="s">
        <v>70</v>
      </c>
      <c r="F170" s="197">
        <f>2*E156</f>
        <v>4</v>
      </c>
      <c r="G170" s="197"/>
      <c r="H170" s="198">
        <f t="shared" si="14"/>
        <v>0</v>
      </c>
      <c r="I170" s="199"/>
      <c r="J170" s="200"/>
    </row>
    <row r="171" spans="1:10" s="136" customFormat="1" ht="12.75">
      <c r="A171" s="211">
        <f t="shared" si="17"/>
        <v>153</v>
      </c>
      <c r="B171" s="212" t="s">
        <v>295</v>
      </c>
      <c r="C171" s="237"/>
      <c r="D171" s="202" t="s">
        <v>108</v>
      </c>
      <c r="E171" s="196" t="s">
        <v>70</v>
      </c>
      <c r="F171" s="197">
        <f>2*E156</f>
        <v>4</v>
      </c>
      <c r="G171" s="197"/>
      <c r="H171" s="198">
        <f t="shared" si="14"/>
        <v>0</v>
      </c>
      <c r="I171" s="199"/>
      <c r="J171" s="200"/>
    </row>
    <row r="172" spans="1:10" s="136" customFormat="1" ht="12.75">
      <c r="A172" s="211">
        <f t="shared" si="17"/>
        <v>154</v>
      </c>
      <c r="B172" s="212" t="s">
        <v>285</v>
      </c>
      <c r="C172" s="237"/>
      <c r="D172" s="202" t="s">
        <v>109</v>
      </c>
      <c r="E172" s="196" t="s">
        <v>70</v>
      </c>
      <c r="F172" s="197">
        <f>2*E156</f>
        <v>4</v>
      </c>
      <c r="G172" s="197"/>
      <c r="H172" s="198">
        <f t="shared" si="14"/>
        <v>0</v>
      </c>
      <c r="I172" s="199"/>
      <c r="J172" s="200"/>
    </row>
    <row r="173" spans="1:10" s="136" customFormat="1" ht="12.75">
      <c r="A173" s="211">
        <f t="shared" si="17"/>
        <v>155</v>
      </c>
      <c r="B173" s="212" t="s">
        <v>348</v>
      </c>
      <c r="C173" s="237"/>
      <c r="D173" s="202" t="s">
        <v>159</v>
      </c>
      <c r="E173" s="196" t="s">
        <v>87</v>
      </c>
      <c r="F173" s="197">
        <f>0.5*E156</f>
        <v>1</v>
      </c>
      <c r="G173" s="197"/>
      <c r="H173" s="198">
        <f t="shared" si="14"/>
        <v>0</v>
      </c>
      <c r="I173" s="199"/>
      <c r="J173" s="200"/>
    </row>
    <row r="174" spans="1:10" s="136" customFormat="1" ht="13">
      <c r="A174" s="211"/>
      <c r="B174" s="212"/>
      <c r="C174" s="237"/>
      <c r="D174" s="238" t="s">
        <v>507</v>
      </c>
      <c r="E174" s="239">
        <v>1</v>
      </c>
      <c r="F174" s="213"/>
      <c r="G174" s="197"/>
      <c r="H174" s="240">
        <f t="shared" si="14"/>
        <v>0</v>
      </c>
      <c r="I174" s="199"/>
      <c r="J174" s="200"/>
    </row>
    <row r="175" spans="1:10" s="136" customFormat="1" ht="12.75">
      <c r="A175" s="211">
        <f>A173+1</f>
        <v>156</v>
      </c>
      <c r="B175" s="212" t="s">
        <v>361</v>
      </c>
      <c r="C175" s="237"/>
      <c r="D175" s="202" t="s">
        <v>343</v>
      </c>
      <c r="E175" s="196" t="s">
        <v>70</v>
      </c>
      <c r="F175" s="197">
        <f>2*E174</f>
        <v>2</v>
      </c>
      <c r="G175" s="197"/>
      <c r="H175" s="198">
        <f t="shared" si="14"/>
        <v>0</v>
      </c>
      <c r="I175" s="199"/>
      <c r="J175" s="200"/>
    </row>
    <row r="176" spans="1:10" s="136" customFormat="1" ht="12.75">
      <c r="A176" s="211">
        <f>A175+1</f>
        <v>157</v>
      </c>
      <c r="B176" s="212" t="s">
        <v>361</v>
      </c>
      <c r="C176" s="237"/>
      <c r="D176" s="202" t="s">
        <v>349</v>
      </c>
      <c r="E176" s="196" t="s">
        <v>70</v>
      </c>
      <c r="F176" s="197">
        <f>2*E174</f>
        <v>2</v>
      </c>
      <c r="G176" s="197"/>
      <c r="H176" s="198">
        <f t="shared" si="14"/>
        <v>0</v>
      </c>
      <c r="I176" s="199"/>
      <c r="J176" s="200"/>
    </row>
    <row r="177" spans="1:10" s="136" customFormat="1" ht="12.75">
      <c r="A177" s="211">
        <f aca="true" t="shared" si="18" ref="A177:A191">A176+1</f>
        <v>158</v>
      </c>
      <c r="B177" s="212" t="s">
        <v>306</v>
      </c>
      <c r="C177" s="237"/>
      <c r="D177" s="202" t="s">
        <v>344</v>
      </c>
      <c r="E177" s="196" t="s">
        <v>70</v>
      </c>
      <c r="F177" s="197">
        <f>3*E174</f>
        <v>3</v>
      </c>
      <c r="G177" s="197"/>
      <c r="H177" s="198">
        <f t="shared" si="14"/>
        <v>0</v>
      </c>
      <c r="I177" s="199"/>
      <c r="J177" s="200"/>
    </row>
    <row r="178" spans="1:14" s="136" customFormat="1" ht="20">
      <c r="A178" s="211">
        <f t="shared" si="18"/>
        <v>159</v>
      </c>
      <c r="B178" s="212" t="s">
        <v>286</v>
      </c>
      <c r="C178" s="237"/>
      <c r="D178" s="202" t="s">
        <v>607</v>
      </c>
      <c r="E178" s="196" t="s">
        <v>70</v>
      </c>
      <c r="F178" s="197">
        <f>1*E174</f>
        <v>1</v>
      </c>
      <c r="G178" s="197"/>
      <c r="H178" s="198">
        <f t="shared" si="14"/>
        <v>0</v>
      </c>
      <c r="I178" s="199"/>
      <c r="J178" s="200"/>
      <c r="M178" s="173">
        <v>6319</v>
      </c>
      <c r="N178" s="136">
        <v>1.3</v>
      </c>
    </row>
    <row r="179" spans="1:10" s="136" customFormat="1" ht="12.75">
      <c r="A179" s="211">
        <f t="shared" si="18"/>
        <v>160</v>
      </c>
      <c r="B179" s="212" t="s">
        <v>287</v>
      </c>
      <c r="C179" s="237"/>
      <c r="D179" s="202" t="s">
        <v>188</v>
      </c>
      <c r="E179" s="196" t="s">
        <v>70</v>
      </c>
      <c r="F179" s="197">
        <f>1*E174</f>
        <v>1</v>
      </c>
      <c r="G179" s="197"/>
      <c r="H179" s="198">
        <f t="shared" si="14"/>
        <v>0</v>
      </c>
      <c r="I179" s="199"/>
      <c r="J179" s="200"/>
    </row>
    <row r="180" spans="1:14" s="136" customFormat="1" ht="20">
      <c r="A180" s="211">
        <f t="shared" si="18"/>
        <v>161</v>
      </c>
      <c r="B180" s="212" t="s">
        <v>288</v>
      </c>
      <c r="C180" s="237"/>
      <c r="D180" s="202" t="s">
        <v>508</v>
      </c>
      <c r="E180" s="196" t="s">
        <v>70</v>
      </c>
      <c r="F180" s="197">
        <f>1*E174</f>
        <v>1</v>
      </c>
      <c r="G180" s="197"/>
      <c r="H180" s="198">
        <f t="shared" si="14"/>
        <v>0</v>
      </c>
      <c r="I180" s="241" t="s">
        <v>477</v>
      </c>
      <c r="J180" s="242" t="s">
        <v>478</v>
      </c>
      <c r="M180" s="136">
        <v>2645</v>
      </c>
      <c r="N180" s="136">
        <v>1.3</v>
      </c>
    </row>
    <row r="181" spans="1:14" s="136" customFormat="1" ht="12.75">
      <c r="A181" s="211">
        <f t="shared" si="18"/>
        <v>162</v>
      </c>
      <c r="B181" s="243" t="s">
        <v>290</v>
      </c>
      <c r="C181" s="237"/>
      <c r="D181" s="202" t="s">
        <v>345</v>
      </c>
      <c r="E181" s="196" t="s">
        <v>70</v>
      </c>
      <c r="F181" s="197">
        <f>1*E174</f>
        <v>1</v>
      </c>
      <c r="G181" s="197"/>
      <c r="H181" s="198">
        <f t="shared" si="14"/>
        <v>0</v>
      </c>
      <c r="I181" s="199"/>
      <c r="J181" s="200"/>
      <c r="M181" s="136">
        <v>599</v>
      </c>
      <c r="N181" s="136">
        <v>1.3</v>
      </c>
    </row>
    <row r="182" spans="1:10" s="136" customFormat="1" ht="20">
      <c r="A182" s="211">
        <f t="shared" si="18"/>
        <v>163</v>
      </c>
      <c r="B182" s="212" t="s">
        <v>296</v>
      </c>
      <c r="C182" s="237"/>
      <c r="D182" s="202" t="s">
        <v>346</v>
      </c>
      <c r="E182" s="196" t="s">
        <v>70</v>
      </c>
      <c r="F182" s="197">
        <f>2*E174</f>
        <v>2</v>
      </c>
      <c r="G182" s="197"/>
      <c r="H182" s="198">
        <f t="shared" si="14"/>
        <v>0</v>
      </c>
      <c r="I182" s="199"/>
      <c r="J182" s="200"/>
    </row>
    <row r="183" spans="1:10" s="136" customFormat="1" ht="12.75">
      <c r="A183" s="211">
        <f t="shared" si="18"/>
        <v>164</v>
      </c>
      <c r="B183" s="212" t="s">
        <v>285</v>
      </c>
      <c r="C183" s="237"/>
      <c r="D183" s="202" t="s">
        <v>160</v>
      </c>
      <c r="E183" s="196" t="s">
        <v>70</v>
      </c>
      <c r="F183" s="197">
        <f>2*E174</f>
        <v>2</v>
      </c>
      <c r="G183" s="197"/>
      <c r="H183" s="198">
        <f t="shared" si="14"/>
        <v>0</v>
      </c>
      <c r="I183" s="199"/>
      <c r="J183" s="200"/>
    </row>
    <row r="184" spans="1:10" s="136" customFormat="1" ht="12.75">
      <c r="A184" s="211">
        <f t="shared" si="18"/>
        <v>165</v>
      </c>
      <c r="B184" s="212" t="s">
        <v>292</v>
      </c>
      <c r="C184" s="237"/>
      <c r="D184" s="202" t="s">
        <v>161</v>
      </c>
      <c r="E184" s="196" t="s">
        <v>70</v>
      </c>
      <c r="F184" s="197">
        <f>2*E174</f>
        <v>2</v>
      </c>
      <c r="G184" s="197"/>
      <c r="H184" s="198">
        <f aca="true" t="shared" si="19" ref="H184:H191">F184*G184</f>
        <v>0</v>
      </c>
      <c r="I184" s="199"/>
      <c r="J184" s="200"/>
    </row>
    <row r="185" spans="1:10" s="136" customFormat="1" ht="12.75">
      <c r="A185" s="211">
        <f t="shared" si="18"/>
        <v>166</v>
      </c>
      <c r="B185" s="243" t="s">
        <v>347</v>
      </c>
      <c r="C185" s="237"/>
      <c r="D185" s="202" t="s">
        <v>142</v>
      </c>
      <c r="E185" s="196" t="s">
        <v>70</v>
      </c>
      <c r="F185" s="197">
        <f>1*E174</f>
        <v>1</v>
      </c>
      <c r="G185" s="197"/>
      <c r="H185" s="198">
        <f t="shared" si="19"/>
        <v>0</v>
      </c>
      <c r="I185" s="199"/>
      <c r="J185" s="200"/>
    </row>
    <row r="186" spans="1:10" s="136" customFormat="1" ht="12.75">
      <c r="A186" s="211">
        <f t="shared" si="18"/>
        <v>167</v>
      </c>
      <c r="B186" s="212" t="s">
        <v>305</v>
      </c>
      <c r="C186" s="237"/>
      <c r="D186" s="202" t="s">
        <v>187</v>
      </c>
      <c r="E186" s="196" t="s">
        <v>70</v>
      </c>
      <c r="F186" s="197">
        <f>E174</f>
        <v>1</v>
      </c>
      <c r="G186" s="197"/>
      <c r="H186" s="198">
        <f t="shared" si="19"/>
        <v>0</v>
      </c>
      <c r="I186" s="199"/>
      <c r="J186" s="200"/>
    </row>
    <row r="187" spans="1:10" s="136" customFormat="1" ht="12.75">
      <c r="A187" s="211">
        <f t="shared" si="18"/>
        <v>168</v>
      </c>
      <c r="B187" s="212" t="s">
        <v>294</v>
      </c>
      <c r="C187" s="237"/>
      <c r="D187" s="202" t="s">
        <v>106</v>
      </c>
      <c r="E187" s="196" t="s">
        <v>70</v>
      </c>
      <c r="F187" s="197">
        <f>4*E174</f>
        <v>4</v>
      </c>
      <c r="G187" s="197"/>
      <c r="H187" s="198">
        <f t="shared" si="19"/>
        <v>0</v>
      </c>
      <c r="I187" s="199"/>
      <c r="J187" s="200"/>
    </row>
    <row r="188" spans="1:10" s="136" customFormat="1" ht="12.75">
      <c r="A188" s="211">
        <f t="shared" si="18"/>
        <v>169</v>
      </c>
      <c r="B188" s="212" t="s">
        <v>291</v>
      </c>
      <c r="C188" s="237"/>
      <c r="D188" s="202" t="s">
        <v>107</v>
      </c>
      <c r="E188" s="196" t="s">
        <v>70</v>
      </c>
      <c r="F188" s="197">
        <f>2*E174</f>
        <v>2</v>
      </c>
      <c r="G188" s="197"/>
      <c r="H188" s="198">
        <f t="shared" si="19"/>
        <v>0</v>
      </c>
      <c r="I188" s="199"/>
      <c r="J188" s="200"/>
    </row>
    <row r="189" spans="1:10" s="136" customFormat="1" ht="12.75">
      <c r="A189" s="211">
        <f t="shared" si="18"/>
        <v>170</v>
      </c>
      <c r="B189" s="212" t="s">
        <v>295</v>
      </c>
      <c r="C189" s="237"/>
      <c r="D189" s="202" t="s">
        <v>108</v>
      </c>
      <c r="E189" s="196" t="s">
        <v>70</v>
      </c>
      <c r="F189" s="197">
        <f>2*E174</f>
        <v>2</v>
      </c>
      <c r="G189" s="197"/>
      <c r="H189" s="198">
        <f t="shared" si="19"/>
        <v>0</v>
      </c>
      <c r="I189" s="199"/>
      <c r="J189" s="200"/>
    </row>
    <row r="190" spans="1:10" s="136" customFormat="1" ht="12.75">
      <c r="A190" s="211">
        <f t="shared" si="18"/>
        <v>171</v>
      </c>
      <c r="B190" s="212" t="s">
        <v>285</v>
      </c>
      <c r="C190" s="237"/>
      <c r="D190" s="202" t="s">
        <v>109</v>
      </c>
      <c r="E190" s="196" t="s">
        <v>70</v>
      </c>
      <c r="F190" s="197">
        <f>2*E174</f>
        <v>2</v>
      </c>
      <c r="G190" s="197"/>
      <c r="H190" s="198">
        <f t="shared" si="19"/>
        <v>0</v>
      </c>
      <c r="I190" s="199"/>
      <c r="J190" s="200"/>
    </row>
    <row r="191" spans="1:10" s="136" customFormat="1" ht="12.75">
      <c r="A191" s="211">
        <f t="shared" si="18"/>
        <v>172</v>
      </c>
      <c r="B191" s="212" t="s">
        <v>348</v>
      </c>
      <c r="C191" s="237"/>
      <c r="D191" s="202" t="s">
        <v>159</v>
      </c>
      <c r="E191" s="196" t="s">
        <v>87</v>
      </c>
      <c r="F191" s="197">
        <f>0.5*E174</f>
        <v>0.5</v>
      </c>
      <c r="G191" s="197"/>
      <c r="H191" s="198">
        <f t="shared" si="19"/>
        <v>0</v>
      </c>
      <c r="I191" s="199"/>
      <c r="J191" s="200"/>
    </row>
    <row r="192" spans="1:10" s="136" customFormat="1" ht="13">
      <c r="A192" s="211"/>
      <c r="B192" s="212"/>
      <c r="C192" s="237"/>
      <c r="D192" s="244" t="s">
        <v>515</v>
      </c>
      <c r="E192" s="239">
        <v>111</v>
      </c>
      <c r="F192" s="213"/>
      <c r="G192" s="213"/>
      <c r="H192" s="240"/>
      <c r="I192" s="199"/>
      <c r="J192" s="200"/>
    </row>
    <row r="193" spans="1:10" s="136" customFormat="1" ht="12.75">
      <c r="A193" s="211">
        <f>A191+1</f>
        <v>173</v>
      </c>
      <c r="B193" s="212" t="s">
        <v>305</v>
      </c>
      <c r="C193" s="212"/>
      <c r="D193" s="202" t="s">
        <v>532</v>
      </c>
      <c r="E193" s="196" t="s">
        <v>70</v>
      </c>
      <c r="F193" s="197">
        <v>42</v>
      </c>
      <c r="G193" s="197"/>
      <c r="H193" s="198">
        <f aca="true" t="shared" si="20" ref="H193:H199">F193*G193</f>
        <v>0</v>
      </c>
      <c r="I193" s="245"/>
      <c r="J193" s="246"/>
    </row>
    <row r="194" spans="1:10" s="136" customFormat="1" ht="12.75">
      <c r="A194" s="211">
        <f aca="true" t="shared" si="21" ref="A194:A196">A193+1</f>
        <v>174</v>
      </c>
      <c r="B194" s="212" t="s">
        <v>374</v>
      </c>
      <c r="C194" s="212"/>
      <c r="D194" s="202" t="s">
        <v>199</v>
      </c>
      <c r="E194" s="196" t="s">
        <v>70</v>
      </c>
      <c r="F194" s="197">
        <v>126</v>
      </c>
      <c r="G194" s="197"/>
      <c r="H194" s="198">
        <f t="shared" si="20"/>
        <v>0</v>
      </c>
      <c r="I194" s="245"/>
      <c r="J194" s="246"/>
    </row>
    <row r="195" spans="1:10" s="136" customFormat="1" ht="12.75">
      <c r="A195" s="211">
        <f t="shared" si="21"/>
        <v>175</v>
      </c>
      <c r="B195" s="212" t="s">
        <v>306</v>
      </c>
      <c r="C195" s="212"/>
      <c r="D195" s="202" t="s">
        <v>196</v>
      </c>
      <c r="E195" s="196" t="s">
        <v>70</v>
      </c>
      <c r="F195" s="197">
        <v>54</v>
      </c>
      <c r="G195" s="197"/>
      <c r="H195" s="198">
        <f t="shared" si="20"/>
        <v>0</v>
      </c>
      <c r="I195" s="245"/>
      <c r="J195" s="246"/>
    </row>
    <row r="196" spans="1:10" s="136" customFormat="1" ht="12.75">
      <c r="A196" s="211">
        <f t="shared" si="21"/>
        <v>176</v>
      </c>
      <c r="B196" s="212" t="s">
        <v>294</v>
      </c>
      <c r="C196" s="212"/>
      <c r="D196" s="202" t="s">
        <v>106</v>
      </c>
      <c r="E196" s="196" t="s">
        <v>70</v>
      </c>
      <c r="F196" s="197">
        <f>2*E192</f>
        <v>222</v>
      </c>
      <c r="G196" s="197"/>
      <c r="H196" s="198">
        <f t="shared" si="20"/>
        <v>0</v>
      </c>
      <c r="I196" s="245"/>
      <c r="J196" s="246"/>
    </row>
    <row r="197" spans="1:10" s="136" customFormat="1" ht="12.75">
      <c r="A197" s="211">
        <f aca="true" t="shared" si="22" ref="A197:A199">A196+1</f>
        <v>177</v>
      </c>
      <c r="B197" s="212" t="s">
        <v>285</v>
      </c>
      <c r="C197" s="237"/>
      <c r="D197" s="202" t="s">
        <v>514</v>
      </c>
      <c r="E197" s="196" t="s">
        <v>70</v>
      </c>
      <c r="F197" s="197">
        <f>2*E192</f>
        <v>222</v>
      </c>
      <c r="G197" s="197"/>
      <c r="H197" s="198">
        <f t="shared" si="20"/>
        <v>0</v>
      </c>
      <c r="I197" s="199"/>
      <c r="J197" s="200"/>
    </row>
    <row r="198" spans="1:10" s="136" customFormat="1" ht="12.75">
      <c r="A198" s="211">
        <f t="shared" si="22"/>
        <v>178</v>
      </c>
      <c r="B198" s="212" t="s">
        <v>305</v>
      </c>
      <c r="C198" s="237"/>
      <c r="D198" s="202" t="s">
        <v>187</v>
      </c>
      <c r="E198" s="196" t="s">
        <v>70</v>
      </c>
      <c r="F198" s="197">
        <f>E192</f>
        <v>111</v>
      </c>
      <c r="G198" s="197"/>
      <c r="H198" s="198">
        <f t="shared" si="20"/>
        <v>0</v>
      </c>
      <c r="I198" s="199"/>
      <c r="J198" s="200"/>
    </row>
    <row r="199" spans="1:10" s="136" customFormat="1" ht="12.75">
      <c r="A199" s="211">
        <f t="shared" si="22"/>
        <v>179</v>
      </c>
      <c r="B199" s="212" t="s">
        <v>292</v>
      </c>
      <c r="C199" s="237"/>
      <c r="D199" s="202" t="s">
        <v>161</v>
      </c>
      <c r="E199" s="196" t="s">
        <v>70</v>
      </c>
      <c r="F199" s="197">
        <f>2*E192</f>
        <v>222</v>
      </c>
      <c r="G199" s="197"/>
      <c r="H199" s="198">
        <f t="shared" si="20"/>
        <v>0</v>
      </c>
      <c r="I199" s="199"/>
      <c r="J199" s="200"/>
    </row>
    <row r="200" spans="1:10" s="136" customFormat="1" ht="13">
      <c r="A200" s="211"/>
      <c r="B200" s="212"/>
      <c r="C200" s="237"/>
      <c r="D200" s="238" t="s">
        <v>516</v>
      </c>
      <c r="E200" s="196"/>
      <c r="F200" s="197"/>
      <c r="G200" s="197"/>
      <c r="H200" s="198"/>
      <c r="I200" s="245"/>
      <c r="J200" s="246"/>
    </row>
    <row r="201" spans="1:10" s="136" customFormat="1" ht="20">
      <c r="A201" s="211">
        <f>A199+1</f>
        <v>180</v>
      </c>
      <c r="B201" s="212" t="s">
        <v>286</v>
      </c>
      <c r="C201" s="237"/>
      <c r="D201" s="202" t="s">
        <v>608</v>
      </c>
      <c r="E201" s="196" t="s">
        <v>70</v>
      </c>
      <c r="F201" s="197">
        <v>1</v>
      </c>
      <c r="G201" s="197"/>
      <c r="H201" s="198">
        <f aca="true" t="shared" si="23" ref="H201:H202">F201*G201</f>
        <v>0</v>
      </c>
      <c r="I201" s="245"/>
      <c r="J201" s="246"/>
    </row>
    <row r="202" spans="1:10" s="136" customFormat="1" ht="12.75">
      <c r="A202" s="211">
        <f>A201+1</f>
        <v>181</v>
      </c>
      <c r="B202" s="212" t="s">
        <v>287</v>
      </c>
      <c r="C202" s="237"/>
      <c r="D202" s="202" t="s">
        <v>188</v>
      </c>
      <c r="E202" s="196" t="s">
        <v>70</v>
      </c>
      <c r="F202" s="197">
        <v>1</v>
      </c>
      <c r="G202" s="197"/>
      <c r="H202" s="198">
        <f t="shared" si="23"/>
        <v>0</v>
      </c>
      <c r="I202" s="245"/>
      <c r="J202" s="246"/>
    </row>
    <row r="203" spans="1:10" s="136" customFormat="1" ht="12.75">
      <c r="A203" s="211"/>
      <c r="B203" s="212"/>
      <c r="C203" s="237"/>
      <c r="D203" s="247" t="s">
        <v>189</v>
      </c>
      <c r="E203" s="196"/>
      <c r="F203" s="197"/>
      <c r="G203" s="197"/>
      <c r="H203" s="198"/>
      <c r="I203" s="245"/>
      <c r="J203" s="246"/>
    </row>
    <row r="204" spans="1:10" s="136" customFormat="1" ht="12.75">
      <c r="A204" s="211">
        <f>A202+1</f>
        <v>182</v>
      </c>
      <c r="B204" s="212" t="s">
        <v>305</v>
      </c>
      <c r="C204" s="237"/>
      <c r="D204" s="202" t="s">
        <v>143</v>
      </c>
      <c r="E204" s="196" t="s">
        <v>70</v>
      </c>
      <c r="F204" s="197">
        <v>10</v>
      </c>
      <c r="G204" s="197"/>
      <c r="H204" s="198">
        <f aca="true" t="shared" si="24" ref="H204:H207">F204*G204</f>
        <v>0</v>
      </c>
      <c r="I204" s="245"/>
      <c r="J204" s="246"/>
    </row>
    <row r="205" spans="1:10" s="136" customFormat="1" ht="12.75">
      <c r="A205" s="211">
        <f>A204+1</f>
        <v>183</v>
      </c>
      <c r="B205" s="212" t="s">
        <v>297</v>
      </c>
      <c r="C205" s="237"/>
      <c r="D205" s="202" t="s">
        <v>144</v>
      </c>
      <c r="E205" s="196" t="s">
        <v>70</v>
      </c>
      <c r="F205" s="197">
        <v>10</v>
      </c>
      <c r="G205" s="197"/>
      <c r="H205" s="198">
        <f t="shared" si="24"/>
        <v>0</v>
      </c>
      <c r="I205" s="245"/>
      <c r="J205" s="246"/>
    </row>
    <row r="206" spans="1:10" s="136" customFormat="1" ht="12.75">
      <c r="A206" s="211">
        <f aca="true" t="shared" si="25" ref="A206:A207">A205+1</f>
        <v>184</v>
      </c>
      <c r="B206" s="212" t="s">
        <v>298</v>
      </c>
      <c r="C206" s="237"/>
      <c r="D206" s="202" t="s">
        <v>145</v>
      </c>
      <c r="E206" s="196" t="s">
        <v>70</v>
      </c>
      <c r="F206" s="197">
        <v>2</v>
      </c>
      <c r="G206" s="197"/>
      <c r="H206" s="198">
        <f t="shared" si="24"/>
        <v>0</v>
      </c>
      <c r="I206" s="245"/>
      <c r="J206" s="246"/>
    </row>
    <row r="207" spans="1:10" s="136" customFormat="1" ht="12.75">
      <c r="A207" s="211">
        <f t="shared" si="25"/>
        <v>185</v>
      </c>
      <c r="B207" s="212" t="s">
        <v>299</v>
      </c>
      <c r="C207" s="237"/>
      <c r="D207" s="202" t="s">
        <v>147</v>
      </c>
      <c r="E207" s="196" t="s">
        <v>70</v>
      </c>
      <c r="F207" s="197">
        <v>2</v>
      </c>
      <c r="G207" s="197"/>
      <c r="H207" s="198">
        <f t="shared" si="24"/>
        <v>0</v>
      </c>
      <c r="I207" s="245"/>
      <c r="J207" s="246"/>
    </row>
    <row r="208" spans="1:10" s="136" customFormat="1" ht="12.75">
      <c r="A208" s="211"/>
      <c r="B208" s="212"/>
      <c r="C208" s="237"/>
      <c r="D208" s="247" t="s">
        <v>505</v>
      </c>
      <c r="E208" s="239" t="s">
        <v>519</v>
      </c>
      <c r="F208" s="197"/>
      <c r="G208" s="197"/>
      <c r="H208" s="198"/>
      <c r="I208" s="245"/>
      <c r="J208" s="246"/>
    </row>
    <row r="209" spans="1:10" s="136" customFormat="1" ht="12.75">
      <c r="A209" s="211">
        <f>A207+1</f>
        <v>186</v>
      </c>
      <c r="B209" s="212" t="s">
        <v>361</v>
      </c>
      <c r="C209" s="237"/>
      <c r="D209" s="202" t="s">
        <v>517</v>
      </c>
      <c r="E209" s="196" t="s">
        <v>70</v>
      </c>
      <c r="F209" s="197">
        <f>E208*2</f>
        <v>4</v>
      </c>
      <c r="G209" s="197"/>
      <c r="H209" s="198">
        <f aca="true" t="shared" si="26" ref="H209:H260">F209*G209</f>
        <v>0</v>
      </c>
      <c r="I209" s="245"/>
      <c r="J209" s="246"/>
    </row>
    <row r="210" spans="1:10" s="136" customFormat="1" ht="12.75">
      <c r="A210" s="211">
        <f>A209+1</f>
        <v>187</v>
      </c>
      <c r="B210" s="212" t="s">
        <v>361</v>
      </c>
      <c r="C210" s="237"/>
      <c r="D210" s="202" t="s">
        <v>518</v>
      </c>
      <c r="E210" s="196" t="s">
        <v>70</v>
      </c>
      <c r="F210" s="197">
        <f>E208*2</f>
        <v>4</v>
      </c>
      <c r="G210" s="197"/>
      <c r="H210" s="198">
        <f t="shared" si="26"/>
        <v>0</v>
      </c>
      <c r="I210" s="245"/>
      <c r="J210" s="246"/>
    </row>
    <row r="211" spans="1:10" s="136" customFormat="1" ht="12.75">
      <c r="A211" s="211">
        <f aca="true" t="shared" si="27" ref="A211:A224">A210+1</f>
        <v>188</v>
      </c>
      <c r="B211" s="212" t="s">
        <v>306</v>
      </c>
      <c r="C211" s="237"/>
      <c r="D211" s="202" t="s">
        <v>351</v>
      </c>
      <c r="E211" s="196" t="s">
        <v>70</v>
      </c>
      <c r="F211" s="197">
        <f>4*E208</f>
        <v>8</v>
      </c>
      <c r="G211" s="197"/>
      <c r="H211" s="198">
        <f t="shared" si="26"/>
        <v>0</v>
      </c>
      <c r="I211" s="245"/>
      <c r="J211" s="246"/>
    </row>
    <row r="212" spans="1:10" s="136" customFormat="1" ht="12.75">
      <c r="A212" s="211">
        <f t="shared" si="27"/>
        <v>189</v>
      </c>
      <c r="B212" s="212" t="s">
        <v>304</v>
      </c>
      <c r="C212" s="228"/>
      <c r="D212" s="202" t="s">
        <v>352</v>
      </c>
      <c r="E212" s="196" t="s">
        <v>70</v>
      </c>
      <c r="F212" s="197">
        <f>1*E208</f>
        <v>2</v>
      </c>
      <c r="G212" s="197"/>
      <c r="H212" s="198">
        <f t="shared" si="26"/>
        <v>0</v>
      </c>
      <c r="I212" s="199"/>
      <c r="J212" s="200"/>
    </row>
    <row r="213" spans="1:10" s="136" customFormat="1" ht="20">
      <c r="A213" s="211">
        <f t="shared" si="27"/>
        <v>190</v>
      </c>
      <c r="B213" s="212" t="s">
        <v>286</v>
      </c>
      <c r="C213" s="237"/>
      <c r="D213" s="202" t="s">
        <v>520</v>
      </c>
      <c r="E213" s="196" t="s">
        <v>70</v>
      </c>
      <c r="F213" s="197">
        <f>1</f>
        <v>1</v>
      </c>
      <c r="G213" s="197"/>
      <c r="H213" s="198">
        <f t="shared" si="26"/>
        <v>0</v>
      </c>
      <c r="I213" s="245"/>
      <c r="J213" s="246"/>
    </row>
    <row r="214" spans="1:10" s="136" customFormat="1" ht="12.75">
      <c r="A214" s="211">
        <f t="shared" si="27"/>
        <v>191</v>
      </c>
      <c r="B214" s="212" t="s">
        <v>287</v>
      </c>
      <c r="C214" s="237"/>
      <c r="D214" s="202" t="s">
        <v>188</v>
      </c>
      <c r="E214" s="196" t="s">
        <v>70</v>
      </c>
      <c r="F214" s="197">
        <f>1*E208</f>
        <v>2</v>
      </c>
      <c r="G214" s="197"/>
      <c r="H214" s="198">
        <f t="shared" si="26"/>
        <v>0</v>
      </c>
      <c r="I214" s="245"/>
      <c r="J214" s="246"/>
    </row>
    <row r="215" spans="1:10" s="136" customFormat="1" ht="12.75">
      <c r="A215" s="211">
        <f t="shared" si="27"/>
        <v>192</v>
      </c>
      <c r="B215" s="243" t="s">
        <v>296</v>
      </c>
      <c r="C215" s="237"/>
      <c r="D215" s="202" t="s">
        <v>522</v>
      </c>
      <c r="E215" s="196" t="s">
        <v>70</v>
      </c>
      <c r="F215" s="197">
        <f>4*E208</f>
        <v>8</v>
      </c>
      <c r="G215" s="197"/>
      <c r="H215" s="198">
        <f t="shared" si="26"/>
        <v>0</v>
      </c>
      <c r="I215" s="245"/>
      <c r="J215" s="246"/>
    </row>
    <row r="216" spans="1:10" s="136" customFormat="1" ht="12.75">
      <c r="A216" s="211">
        <f t="shared" si="27"/>
        <v>193</v>
      </c>
      <c r="B216" s="212" t="s">
        <v>285</v>
      </c>
      <c r="C216" s="237"/>
      <c r="D216" s="202" t="s">
        <v>523</v>
      </c>
      <c r="E216" s="196" t="s">
        <v>70</v>
      </c>
      <c r="F216" s="197">
        <f>2*E208</f>
        <v>4</v>
      </c>
      <c r="G216" s="197"/>
      <c r="H216" s="198">
        <f t="shared" si="26"/>
        <v>0</v>
      </c>
      <c r="I216" s="245"/>
      <c r="J216" s="246"/>
    </row>
    <row r="217" spans="1:10" s="136" customFormat="1" ht="12.75">
      <c r="A217" s="211">
        <f t="shared" si="27"/>
        <v>194</v>
      </c>
      <c r="B217" s="212" t="s">
        <v>292</v>
      </c>
      <c r="C217" s="237"/>
      <c r="D217" s="202" t="s">
        <v>161</v>
      </c>
      <c r="E217" s="196" t="s">
        <v>70</v>
      </c>
      <c r="F217" s="197">
        <f>3*E208</f>
        <v>6</v>
      </c>
      <c r="G217" s="197"/>
      <c r="H217" s="198">
        <f t="shared" si="26"/>
        <v>0</v>
      </c>
      <c r="I217" s="245"/>
      <c r="J217" s="246"/>
    </row>
    <row r="218" spans="1:10" s="136" customFormat="1" ht="12.75">
      <c r="A218" s="211">
        <f t="shared" si="27"/>
        <v>195</v>
      </c>
      <c r="B218" s="243" t="s">
        <v>347</v>
      </c>
      <c r="C218" s="237"/>
      <c r="D218" s="202" t="s">
        <v>142</v>
      </c>
      <c r="E218" s="196" t="s">
        <v>70</v>
      </c>
      <c r="F218" s="197">
        <f>1*E208</f>
        <v>2</v>
      </c>
      <c r="G218" s="197"/>
      <c r="H218" s="198">
        <f t="shared" si="26"/>
        <v>0</v>
      </c>
      <c r="I218" s="245"/>
      <c r="J218" s="246"/>
    </row>
    <row r="219" spans="1:10" s="136" customFormat="1" ht="12.75">
      <c r="A219" s="211">
        <f t="shared" si="27"/>
        <v>196</v>
      </c>
      <c r="B219" s="212" t="s">
        <v>305</v>
      </c>
      <c r="C219" s="237"/>
      <c r="D219" s="202" t="s">
        <v>187</v>
      </c>
      <c r="E219" s="196" t="s">
        <v>70</v>
      </c>
      <c r="F219" s="197">
        <v>2</v>
      </c>
      <c r="G219" s="197"/>
      <c r="H219" s="198">
        <f t="shared" si="26"/>
        <v>0</v>
      </c>
      <c r="I219" s="245"/>
      <c r="J219" s="246"/>
    </row>
    <row r="220" spans="1:10" s="136" customFormat="1" ht="12.75">
      <c r="A220" s="211">
        <f t="shared" si="27"/>
        <v>197</v>
      </c>
      <c r="B220" s="212" t="s">
        <v>294</v>
      </c>
      <c r="C220" s="237"/>
      <c r="D220" s="202" t="s">
        <v>106</v>
      </c>
      <c r="E220" s="196" t="s">
        <v>70</v>
      </c>
      <c r="F220" s="197">
        <f>4*E208</f>
        <v>8</v>
      </c>
      <c r="G220" s="197"/>
      <c r="H220" s="198">
        <f t="shared" si="26"/>
        <v>0</v>
      </c>
      <c r="I220" s="245"/>
      <c r="J220" s="246"/>
    </row>
    <row r="221" spans="1:10" s="136" customFormat="1" ht="12.75">
      <c r="A221" s="211">
        <f t="shared" si="27"/>
        <v>198</v>
      </c>
      <c r="B221" s="212" t="s">
        <v>291</v>
      </c>
      <c r="C221" s="237"/>
      <c r="D221" s="202" t="s">
        <v>107</v>
      </c>
      <c r="E221" s="196" t="s">
        <v>70</v>
      </c>
      <c r="F221" s="197">
        <f>4*E208</f>
        <v>8</v>
      </c>
      <c r="G221" s="197"/>
      <c r="H221" s="198">
        <f t="shared" si="26"/>
        <v>0</v>
      </c>
      <c r="I221" s="245"/>
      <c r="J221" s="246"/>
    </row>
    <row r="222" spans="1:10" s="136" customFormat="1" ht="12.75">
      <c r="A222" s="211">
        <f t="shared" si="27"/>
        <v>199</v>
      </c>
      <c r="B222" s="212" t="s">
        <v>295</v>
      </c>
      <c r="C222" s="237"/>
      <c r="D222" s="202" t="s">
        <v>108</v>
      </c>
      <c r="E222" s="196" t="s">
        <v>70</v>
      </c>
      <c r="F222" s="197">
        <f>4*E208</f>
        <v>8</v>
      </c>
      <c r="G222" s="197"/>
      <c r="H222" s="198">
        <f t="shared" si="26"/>
        <v>0</v>
      </c>
      <c r="I222" s="245"/>
      <c r="J222" s="246"/>
    </row>
    <row r="223" spans="1:10" s="136" customFormat="1" ht="12.75">
      <c r="A223" s="211">
        <f t="shared" si="27"/>
        <v>200</v>
      </c>
      <c r="B223" s="212" t="s">
        <v>285</v>
      </c>
      <c r="C223" s="237"/>
      <c r="D223" s="202" t="s">
        <v>109</v>
      </c>
      <c r="E223" s="196" t="s">
        <v>70</v>
      </c>
      <c r="F223" s="197">
        <f>2*E208</f>
        <v>4</v>
      </c>
      <c r="G223" s="197"/>
      <c r="H223" s="198">
        <f t="shared" si="26"/>
        <v>0</v>
      </c>
      <c r="I223" s="245"/>
      <c r="J223" s="246"/>
    </row>
    <row r="224" spans="1:10" s="136" customFormat="1" ht="12.75">
      <c r="A224" s="211">
        <f t="shared" si="27"/>
        <v>201</v>
      </c>
      <c r="B224" s="212" t="s">
        <v>348</v>
      </c>
      <c r="C224" s="237"/>
      <c r="D224" s="202" t="s">
        <v>159</v>
      </c>
      <c r="E224" s="196" t="s">
        <v>87</v>
      </c>
      <c r="F224" s="197">
        <f>0.5*E208</f>
        <v>1</v>
      </c>
      <c r="G224" s="197"/>
      <c r="H224" s="198">
        <f t="shared" si="26"/>
        <v>0</v>
      </c>
      <c r="I224" s="245"/>
      <c r="J224" s="246"/>
    </row>
    <row r="225" spans="1:10" s="136" customFormat="1" ht="13">
      <c r="A225" s="211"/>
      <c r="B225" s="212"/>
      <c r="C225" s="228"/>
      <c r="D225" s="238" t="s">
        <v>171</v>
      </c>
      <c r="E225" s="230"/>
      <c r="F225" s="213"/>
      <c r="G225" s="213"/>
      <c r="H225" s="240">
        <f t="shared" si="26"/>
        <v>0</v>
      </c>
      <c r="I225" s="199"/>
      <c r="J225" s="200"/>
    </row>
    <row r="226" spans="1:10" s="136" customFormat="1" ht="12.75">
      <c r="A226" s="211">
        <f>A224+1</f>
        <v>202</v>
      </c>
      <c r="B226" s="243" t="s">
        <v>289</v>
      </c>
      <c r="C226" s="237"/>
      <c r="D226" s="202" t="s">
        <v>527</v>
      </c>
      <c r="E226" s="196" t="s">
        <v>70</v>
      </c>
      <c r="F226" s="197">
        <v>1</v>
      </c>
      <c r="G226" s="197"/>
      <c r="H226" s="198">
        <f t="shared" si="26"/>
        <v>0</v>
      </c>
      <c r="I226" s="199"/>
      <c r="J226" s="200"/>
    </row>
    <row r="227" spans="1:10" s="136" customFormat="1" ht="12.75">
      <c r="A227" s="211">
        <f>A226+1</f>
        <v>203</v>
      </c>
      <c r="B227" s="212" t="s">
        <v>301</v>
      </c>
      <c r="C227" s="228"/>
      <c r="D227" s="202" t="s">
        <v>358</v>
      </c>
      <c r="E227" s="196" t="s">
        <v>66</v>
      </c>
      <c r="F227" s="197">
        <v>2</v>
      </c>
      <c r="G227" s="197"/>
      <c r="H227" s="198">
        <f t="shared" si="26"/>
        <v>0</v>
      </c>
      <c r="I227" s="199"/>
      <c r="J227" s="200"/>
    </row>
    <row r="228" spans="1:10" s="136" customFormat="1" ht="12.75">
      <c r="A228" s="211">
        <f aca="true" t="shared" si="28" ref="A228:A277">A227+1</f>
        <v>204</v>
      </c>
      <c r="B228" s="212" t="s">
        <v>301</v>
      </c>
      <c r="C228" s="228"/>
      <c r="D228" s="202" t="s">
        <v>529</v>
      </c>
      <c r="E228" s="196" t="s">
        <v>66</v>
      </c>
      <c r="F228" s="197">
        <v>4</v>
      </c>
      <c r="G228" s="197"/>
      <c r="H228" s="198">
        <f t="shared" si="26"/>
        <v>0</v>
      </c>
      <c r="I228" s="199"/>
      <c r="J228" s="200"/>
    </row>
    <row r="229" spans="1:10" s="136" customFormat="1" ht="12.75">
      <c r="A229" s="211">
        <f t="shared" si="28"/>
        <v>205</v>
      </c>
      <c r="B229" s="212" t="s">
        <v>301</v>
      </c>
      <c r="C229" s="228"/>
      <c r="D229" s="202" t="s">
        <v>528</v>
      </c>
      <c r="E229" s="196" t="s">
        <v>66</v>
      </c>
      <c r="F229" s="197">
        <v>2</v>
      </c>
      <c r="G229" s="197"/>
      <c r="H229" s="198">
        <f t="shared" si="26"/>
        <v>0</v>
      </c>
      <c r="I229" s="199"/>
      <c r="J229" s="200"/>
    </row>
    <row r="230" spans="1:10" s="136" customFormat="1" ht="12.75">
      <c r="A230" s="211">
        <f t="shared" si="28"/>
        <v>206</v>
      </c>
      <c r="B230" s="212" t="s">
        <v>301</v>
      </c>
      <c r="C230" s="228"/>
      <c r="D230" s="202" t="s">
        <v>329</v>
      </c>
      <c r="E230" s="196" t="s">
        <v>66</v>
      </c>
      <c r="F230" s="197">
        <v>1</v>
      </c>
      <c r="G230" s="197"/>
      <c r="H230" s="198">
        <f t="shared" si="26"/>
        <v>0</v>
      </c>
      <c r="I230" s="199"/>
      <c r="J230" s="200"/>
    </row>
    <row r="231" spans="1:10" s="136" customFormat="1" ht="12.75">
      <c r="A231" s="211">
        <f t="shared" si="28"/>
        <v>207</v>
      </c>
      <c r="B231" s="212" t="s">
        <v>291</v>
      </c>
      <c r="C231" s="228"/>
      <c r="D231" s="202" t="s">
        <v>530</v>
      </c>
      <c r="E231" s="196" t="s">
        <v>66</v>
      </c>
      <c r="F231" s="197">
        <v>13</v>
      </c>
      <c r="G231" s="197"/>
      <c r="H231" s="198">
        <f t="shared" si="26"/>
        <v>0</v>
      </c>
      <c r="I231" s="199"/>
      <c r="J231" s="200"/>
    </row>
    <row r="232" spans="1:10" s="136" customFormat="1" ht="12.75">
      <c r="A232" s="211">
        <f t="shared" si="28"/>
        <v>208</v>
      </c>
      <c r="B232" s="212" t="s">
        <v>292</v>
      </c>
      <c r="C232" s="228"/>
      <c r="D232" s="202" t="s">
        <v>162</v>
      </c>
      <c r="E232" s="196" t="s">
        <v>70</v>
      </c>
      <c r="F232" s="197">
        <v>20</v>
      </c>
      <c r="G232" s="197"/>
      <c r="H232" s="198">
        <f t="shared" si="26"/>
        <v>0</v>
      </c>
      <c r="I232" s="199"/>
      <c r="J232" s="200"/>
    </row>
    <row r="233" spans="1:10" s="136" customFormat="1" ht="12.75">
      <c r="A233" s="211">
        <f t="shared" si="28"/>
        <v>209</v>
      </c>
      <c r="B233" s="212" t="s">
        <v>302</v>
      </c>
      <c r="C233" s="228"/>
      <c r="D233" s="202" t="s">
        <v>170</v>
      </c>
      <c r="E233" s="196" t="s">
        <v>70</v>
      </c>
      <c r="F233" s="197">
        <v>25</v>
      </c>
      <c r="G233" s="197"/>
      <c r="H233" s="198">
        <f t="shared" si="26"/>
        <v>0</v>
      </c>
      <c r="I233" s="199"/>
      <c r="J233" s="200"/>
    </row>
    <row r="234" spans="1:10" s="136" customFormat="1" ht="12.75">
      <c r="A234" s="211">
        <f t="shared" si="28"/>
        <v>210</v>
      </c>
      <c r="B234" s="212" t="s">
        <v>302</v>
      </c>
      <c r="C234" s="228"/>
      <c r="D234" s="202" t="s">
        <v>357</v>
      </c>
      <c r="E234" s="196" t="s">
        <v>70</v>
      </c>
      <c r="F234" s="197">
        <v>2</v>
      </c>
      <c r="G234" s="197"/>
      <c r="H234" s="198">
        <f t="shared" si="26"/>
        <v>0</v>
      </c>
      <c r="I234" s="199"/>
      <c r="J234" s="200"/>
    </row>
    <row r="235" spans="1:10" s="136" customFormat="1" ht="12.75">
      <c r="A235" s="211">
        <f t="shared" si="28"/>
        <v>211</v>
      </c>
      <c r="B235" s="212" t="s">
        <v>303</v>
      </c>
      <c r="C235" s="228"/>
      <c r="D235" s="202" t="s">
        <v>356</v>
      </c>
      <c r="E235" s="196" t="s">
        <v>70</v>
      </c>
      <c r="F235" s="197">
        <v>1</v>
      </c>
      <c r="G235" s="197"/>
      <c r="H235" s="198">
        <f t="shared" si="26"/>
        <v>0</v>
      </c>
      <c r="I235" s="199"/>
      <c r="J235" s="200"/>
    </row>
    <row r="236" spans="1:10" s="136" customFormat="1" ht="12.75">
      <c r="A236" s="211">
        <f t="shared" si="28"/>
        <v>212</v>
      </c>
      <c r="B236" s="212" t="s">
        <v>300</v>
      </c>
      <c r="C236" s="228"/>
      <c r="D236" s="202" t="s">
        <v>215</v>
      </c>
      <c r="E236" s="196" t="s">
        <v>70</v>
      </c>
      <c r="F236" s="197">
        <v>1</v>
      </c>
      <c r="G236" s="197"/>
      <c r="H236" s="198">
        <f t="shared" si="26"/>
        <v>0</v>
      </c>
      <c r="I236" s="199"/>
      <c r="J236" s="200"/>
    </row>
    <row r="237" spans="1:10" s="136" customFormat="1" ht="12.75">
      <c r="A237" s="211">
        <f t="shared" si="28"/>
        <v>213</v>
      </c>
      <c r="B237" s="212" t="s">
        <v>304</v>
      </c>
      <c r="C237" s="228"/>
      <c r="D237" s="202" t="s">
        <v>531</v>
      </c>
      <c r="E237" s="196" t="s">
        <v>70</v>
      </c>
      <c r="F237" s="197">
        <v>1</v>
      </c>
      <c r="G237" s="197"/>
      <c r="H237" s="198">
        <f t="shared" si="26"/>
        <v>0</v>
      </c>
      <c r="I237" s="199"/>
      <c r="J237" s="200"/>
    </row>
    <row r="238" spans="1:10" s="136" customFormat="1" ht="12.75">
      <c r="A238" s="211">
        <f t="shared" si="28"/>
        <v>214</v>
      </c>
      <c r="B238" s="212" t="s">
        <v>304</v>
      </c>
      <c r="C238" s="228"/>
      <c r="D238" s="202" t="s">
        <v>353</v>
      </c>
      <c r="E238" s="196" t="s">
        <v>70</v>
      </c>
      <c r="F238" s="197">
        <v>2</v>
      </c>
      <c r="G238" s="197"/>
      <c r="H238" s="198">
        <f t="shared" si="26"/>
        <v>0</v>
      </c>
      <c r="I238" s="199"/>
      <c r="J238" s="200"/>
    </row>
    <row r="239" spans="1:10" s="136" customFormat="1" ht="12.75">
      <c r="A239" s="211">
        <f t="shared" si="28"/>
        <v>215</v>
      </c>
      <c r="B239" s="212" t="s">
        <v>304</v>
      </c>
      <c r="C239" s="228"/>
      <c r="D239" s="202" t="s">
        <v>354</v>
      </c>
      <c r="E239" s="196" t="s">
        <v>70</v>
      </c>
      <c r="F239" s="197">
        <v>3</v>
      </c>
      <c r="G239" s="197"/>
      <c r="H239" s="198">
        <f t="shared" si="26"/>
        <v>0</v>
      </c>
      <c r="I239" s="199"/>
      <c r="J239" s="200"/>
    </row>
    <row r="240" spans="1:10" s="136" customFormat="1" ht="12.75">
      <c r="A240" s="211">
        <f t="shared" si="28"/>
        <v>216</v>
      </c>
      <c r="B240" s="212" t="s">
        <v>305</v>
      </c>
      <c r="C240" s="228"/>
      <c r="D240" s="202" t="s">
        <v>99</v>
      </c>
      <c r="E240" s="196" t="s">
        <v>70</v>
      </c>
      <c r="F240" s="197">
        <v>3</v>
      </c>
      <c r="G240" s="197"/>
      <c r="H240" s="198">
        <f t="shared" si="26"/>
        <v>0</v>
      </c>
      <c r="I240" s="199"/>
      <c r="J240" s="200"/>
    </row>
    <row r="241" spans="1:10" s="136" customFormat="1" ht="12.75">
      <c r="A241" s="211">
        <f t="shared" si="28"/>
        <v>217</v>
      </c>
      <c r="B241" s="212" t="s">
        <v>595</v>
      </c>
      <c r="C241" s="228"/>
      <c r="D241" s="202" t="s">
        <v>532</v>
      </c>
      <c r="E241" s="196" t="s">
        <v>70</v>
      </c>
      <c r="F241" s="197">
        <v>1</v>
      </c>
      <c r="G241" s="197"/>
      <c r="H241" s="198">
        <f t="shared" si="26"/>
        <v>0</v>
      </c>
      <c r="I241" s="199"/>
      <c r="J241" s="200"/>
    </row>
    <row r="242" spans="1:10" s="136" customFormat="1" ht="12.75">
      <c r="A242" s="211">
        <f t="shared" si="28"/>
        <v>218</v>
      </c>
      <c r="B242" s="212" t="s">
        <v>596</v>
      </c>
      <c r="C242" s="228"/>
      <c r="D242" s="202" t="s">
        <v>199</v>
      </c>
      <c r="E242" s="196" t="s">
        <v>70</v>
      </c>
      <c r="F242" s="197">
        <v>12</v>
      </c>
      <c r="G242" s="197"/>
      <c r="H242" s="198">
        <f t="shared" si="26"/>
        <v>0</v>
      </c>
      <c r="I242" s="199"/>
      <c r="J242" s="200"/>
    </row>
    <row r="243" spans="1:10" s="136" customFormat="1" ht="12.75">
      <c r="A243" s="211">
        <f t="shared" si="28"/>
        <v>219</v>
      </c>
      <c r="B243" s="212" t="s">
        <v>374</v>
      </c>
      <c r="C243" s="228"/>
      <c r="D243" s="202" t="s">
        <v>594</v>
      </c>
      <c r="E243" s="196" t="s">
        <v>70</v>
      </c>
      <c r="F243" s="197">
        <v>2</v>
      </c>
      <c r="G243" s="197"/>
      <c r="H243" s="198">
        <f t="shared" si="26"/>
        <v>0</v>
      </c>
      <c r="I243" s="199"/>
      <c r="J243" s="200"/>
    </row>
    <row r="244" spans="1:10" s="136" customFormat="1" ht="12.75">
      <c r="A244" s="211">
        <f t="shared" si="28"/>
        <v>220</v>
      </c>
      <c r="B244" s="212" t="s">
        <v>306</v>
      </c>
      <c r="C244" s="228"/>
      <c r="D244" s="202" t="s">
        <v>593</v>
      </c>
      <c r="E244" s="196" t="s">
        <v>70</v>
      </c>
      <c r="F244" s="197">
        <v>8</v>
      </c>
      <c r="G244" s="197"/>
      <c r="H244" s="198">
        <f t="shared" si="26"/>
        <v>0</v>
      </c>
      <c r="I244" s="199"/>
      <c r="J244" s="200"/>
    </row>
    <row r="245" spans="1:10" s="136" customFormat="1" ht="12.75">
      <c r="A245" s="211">
        <f t="shared" si="28"/>
        <v>221</v>
      </c>
      <c r="B245" s="212" t="s">
        <v>592</v>
      </c>
      <c r="C245" s="228"/>
      <c r="D245" s="202" t="s">
        <v>351</v>
      </c>
      <c r="E245" s="196" t="s">
        <v>70</v>
      </c>
      <c r="F245" s="197">
        <v>18</v>
      </c>
      <c r="G245" s="197"/>
      <c r="H245" s="198">
        <f t="shared" si="26"/>
        <v>0</v>
      </c>
      <c r="I245" s="199"/>
      <c r="J245" s="200"/>
    </row>
    <row r="246" spans="1:10" s="136" customFormat="1" ht="12.75">
      <c r="A246" s="211">
        <f t="shared" si="28"/>
        <v>222</v>
      </c>
      <c r="B246" s="212" t="s">
        <v>308</v>
      </c>
      <c r="C246" s="228"/>
      <c r="D246" s="202" t="s">
        <v>163</v>
      </c>
      <c r="E246" s="196" t="s">
        <v>70</v>
      </c>
      <c r="F246" s="197">
        <v>12</v>
      </c>
      <c r="G246" s="197"/>
      <c r="H246" s="198">
        <f t="shared" si="26"/>
        <v>0</v>
      </c>
      <c r="I246" s="199"/>
      <c r="J246" s="200"/>
    </row>
    <row r="247" spans="1:10" s="136" customFormat="1" ht="12.75">
      <c r="A247" s="211">
        <f t="shared" si="28"/>
        <v>223</v>
      </c>
      <c r="B247" s="212" t="s">
        <v>307</v>
      </c>
      <c r="C247" s="228"/>
      <c r="D247" s="202" t="s">
        <v>100</v>
      </c>
      <c r="E247" s="196" t="s">
        <v>70</v>
      </c>
      <c r="F247" s="197">
        <v>31</v>
      </c>
      <c r="G247" s="197"/>
      <c r="H247" s="198">
        <f t="shared" si="26"/>
        <v>0</v>
      </c>
      <c r="I247" s="199"/>
      <c r="J247" s="200"/>
    </row>
    <row r="248" spans="1:10" s="136" customFormat="1" ht="12.75">
      <c r="A248" s="211">
        <f t="shared" si="28"/>
        <v>224</v>
      </c>
      <c r="B248" s="212" t="s">
        <v>309</v>
      </c>
      <c r="C248" s="228"/>
      <c r="D248" s="202" t="s">
        <v>210</v>
      </c>
      <c r="E248" s="196" t="s">
        <v>70</v>
      </c>
      <c r="F248" s="197">
        <v>34</v>
      </c>
      <c r="G248" s="197"/>
      <c r="H248" s="198">
        <f t="shared" si="26"/>
        <v>0</v>
      </c>
      <c r="I248" s="199"/>
      <c r="J248" s="200"/>
    </row>
    <row r="249" spans="1:10" s="136" customFormat="1" ht="12.75">
      <c r="A249" s="211">
        <f t="shared" si="28"/>
        <v>225</v>
      </c>
      <c r="B249" s="212" t="s">
        <v>309</v>
      </c>
      <c r="C249" s="228"/>
      <c r="D249" s="202" t="s">
        <v>350</v>
      </c>
      <c r="E249" s="196" t="s">
        <v>70</v>
      </c>
      <c r="F249" s="197">
        <v>2</v>
      </c>
      <c r="G249" s="197"/>
      <c r="H249" s="198">
        <f t="shared" si="26"/>
        <v>0</v>
      </c>
      <c r="I249" s="199"/>
      <c r="J249" s="200"/>
    </row>
    <row r="250" spans="1:10" s="136" customFormat="1" ht="12.75">
      <c r="A250" s="211">
        <f t="shared" si="28"/>
        <v>226</v>
      </c>
      <c r="B250" s="212" t="s">
        <v>295</v>
      </c>
      <c r="C250" s="228"/>
      <c r="D250" s="202" t="s">
        <v>101</v>
      </c>
      <c r="E250" s="196" t="s">
        <v>70</v>
      </c>
      <c r="F250" s="197">
        <v>25</v>
      </c>
      <c r="G250" s="197"/>
      <c r="H250" s="198">
        <f t="shared" si="26"/>
        <v>0</v>
      </c>
      <c r="I250" s="199"/>
      <c r="J250" s="200"/>
    </row>
    <row r="251" spans="1:10" s="136" customFormat="1" ht="12.75">
      <c r="A251" s="211">
        <f t="shared" si="28"/>
        <v>227</v>
      </c>
      <c r="B251" s="212" t="s">
        <v>298</v>
      </c>
      <c r="C251" s="228"/>
      <c r="D251" s="202" t="s">
        <v>310</v>
      </c>
      <c r="E251" s="196" t="s">
        <v>70</v>
      </c>
      <c r="F251" s="197">
        <v>23</v>
      </c>
      <c r="G251" s="197"/>
      <c r="H251" s="198">
        <f t="shared" si="26"/>
        <v>0</v>
      </c>
      <c r="I251" s="199"/>
      <c r="J251" s="200"/>
    </row>
    <row r="252" spans="1:10" s="136" customFormat="1" ht="12.75">
      <c r="A252" s="211">
        <f t="shared" si="28"/>
        <v>228</v>
      </c>
      <c r="B252" s="212" t="s">
        <v>313</v>
      </c>
      <c r="C252" s="228"/>
      <c r="D252" s="202" t="s">
        <v>311</v>
      </c>
      <c r="E252" s="196" t="s">
        <v>70</v>
      </c>
      <c r="F252" s="197">
        <f>F250</f>
        <v>25</v>
      </c>
      <c r="G252" s="197"/>
      <c r="H252" s="198">
        <f t="shared" si="26"/>
        <v>0</v>
      </c>
      <c r="I252" s="199"/>
      <c r="J252" s="200"/>
    </row>
    <row r="253" spans="1:10" s="136" customFormat="1" ht="12.75">
      <c r="A253" s="211">
        <f t="shared" si="28"/>
        <v>229</v>
      </c>
      <c r="B253" s="212" t="s">
        <v>312</v>
      </c>
      <c r="C253" s="228"/>
      <c r="D253" s="202" t="s">
        <v>102</v>
      </c>
      <c r="E253" s="196" t="s">
        <v>70</v>
      </c>
      <c r="F253" s="197">
        <f>F251</f>
        <v>23</v>
      </c>
      <c r="G253" s="197"/>
      <c r="H253" s="198">
        <f t="shared" si="26"/>
        <v>0</v>
      </c>
      <c r="I253" s="199"/>
      <c r="J253" s="200"/>
    </row>
    <row r="254" spans="1:10" s="136" customFormat="1" ht="12.75">
      <c r="A254" s="211">
        <f t="shared" si="28"/>
        <v>230</v>
      </c>
      <c r="B254" s="243" t="s">
        <v>293</v>
      </c>
      <c r="C254" s="228"/>
      <c r="D254" s="202" t="s">
        <v>103</v>
      </c>
      <c r="E254" s="196" t="s">
        <v>70</v>
      </c>
      <c r="F254" s="197">
        <v>17</v>
      </c>
      <c r="G254" s="197"/>
      <c r="H254" s="198">
        <f t="shared" si="26"/>
        <v>0</v>
      </c>
      <c r="I254" s="199"/>
      <c r="J254" s="200"/>
    </row>
    <row r="255" spans="1:10" s="136" customFormat="1" ht="20">
      <c r="A255" s="211">
        <f t="shared" si="28"/>
        <v>231</v>
      </c>
      <c r="B255" s="212" t="s">
        <v>314</v>
      </c>
      <c r="C255" s="228"/>
      <c r="D255" s="207" t="s">
        <v>552</v>
      </c>
      <c r="E255" s="210" t="s">
        <v>70</v>
      </c>
      <c r="F255" s="208">
        <v>5</v>
      </c>
      <c r="G255" s="208"/>
      <c r="H255" s="209">
        <f t="shared" si="26"/>
        <v>0</v>
      </c>
      <c r="I255" s="245" t="s">
        <v>477</v>
      </c>
      <c r="J255" s="200" t="s">
        <v>544</v>
      </c>
    </row>
    <row r="256" spans="1:10" s="136" customFormat="1" ht="20">
      <c r="A256" s="211">
        <f t="shared" si="28"/>
        <v>232</v>
      </c>
      <c r="B256" s="212" t="s">
        <v>314</v>
      </c>
      <c r="C256" s="228"/>
      <c r="D256" s="207" t="s">
        <v>553</v>
      </c>
      <c r="E256" s="210" t="s">
        <v>70</v>
      </c>
      <c r="F256" s="208">
        <v>4</v>
      </c>
      <c r="G256" s="208"/>
      <c r="H256" s="209">
        <f t="shared" si="26"/>
        <v>0</v>
      </c>
      <c r="I256" s="245" t="s">
        <v>477</v>
      </c>
      <c r="J256" s="200" t="s">
        <v>544</v>
      </c>
    </row>
    <row r="257" spans="1:10" s="136" customFormat="1" ht="20">
      <c r="A257" s="211">
        <f t="shared" si="28"/>
        <v>233</v>
      </c>
      <c r="B257" s="212" t="s">
        <v>314</v>
      </c>
      <c r="C257" s="228"/>
      <c r="D257" s="207" t="s">
        <v>554</v>
      </c>
      <c r="E257" s="210" t="s">
        <v>70</v>
      </c>
      <c r="F257" s="208">
        <v>2</v>
      </c>
      <c r="G257" s="208"/>
      <c r="H257" s="209">
        <f t="shared" si="26"/>
        <v>0</v>
      </c>
      <c r="I257" s="245" t="s">
        <v>477</v>
      </c>
      <c r="J257" s="200" t="s">
        <v>544</v>
      </c>
    </row>
    <row r="258" spans="1:10" s="136" customFormat="1" ht="12.75">
      <c r="A258" s="211">
        <f t="shared" si="28"/>
        <v>234</v>
      </c>
      <c r="B258" s="212" t="s">
        <v>316</v>
      </c>
      <c r="C258" s="228" t="s">
        <v>377</v>
      </c>
      <c r="D258" s="202" t="s">
        <v>217</v>
      </c>
      <c r="E258" s="196" t="s">
        <v>66</v>
      </c>
      <c r="F258" s="197">
        <v>1</v>
      </c>
      <c r="G258" s="203"/>
      <c r="H258" s="204">
        <f t="shared" si="26"/>
        <v>0</v>
      </c>
      <c r="I258" s="205" t="s">
        <v>204</v>
      </c>
      <c r="J258" s="205" t="s">
        <v>218</v>
      </c>
    </row>
    <row r="259" spans="1:10" s="136" customFormat="1" ht="12.75">
      <c r="A259" s="211">
        <f t="shared" si="28"/>
        <v>235</v>
      </c>
      <c r="B259" s="212" t="s">
        <v>315</v>
      </c>
      <c r="C259" s="228" t="s">
        <v>376</v>
      </c>
      <c r="D259" s="202" t="s">
        <v>557</v>
      </c>
      <c r="E259" s="196" t="s">
        <v>66</v>
      </c>
      <c r="F259" s="197">
        <v>1</v>
      </c>
      <c r="G259" s="203"/>
      <c r="H259" s="204">
        <f t="shared" si="26"/>
        <v>0</v>
      </c>
      <c r="I259" s="205"/>
      <c r="J259" s="205"/>
    </row>
    <row r="260" spans="1:10" s="136" customFormat="1" ht="12.75">
      <c r="A260" s="211">
        <f t="shared" si="28"/>
        <v>236</v>
      </c>
      <c r="B260" s="212" t="s">
        <v>317</v>
      </c>
      <c r="C260" s="228" t="s">
        <v>376</v>
      </c>
      <c r="D260" s="202" t="s">
        <v>216</v>
      </c>
      <c r="E260" s="196" t="s">
        <v>70</v>
      </c>
      <c r="F260" s="197">
        <v>1</v>
      </c>
      <c r="G260" s="197"/>
      <c r="H260" s="198">
        <f t="shared" si="26"/>
        <v>0</v>
      </c>
      <c r="I260" s="199"/>
      <c r="J260" s="200"/>
    </row>
    <row r="261" spans="1:10" s="136" customFormat="1" ht="12.75">
      <c r="A261" s="211">
        <f t="shared" si="28"/>
        <v>237</v>
      </c>
      <c r="B261" s="212" t="s">
        <v>324</v>
      </c>
      <c r="C261" s="212" t="s">
        <v>375</v>
      </c>
      <c r="D261" s="202" t="s">
        <v>602</v>
      </c>
      <c r="E261" s="196" t="s">
        <v>70</v>
      </c>
      <c r="F261" s="197">
        <v>1</v>
      </c>
      <c r="G261" s="197"/>
      <c r="H261" s="198">
        <f>F261*G261</f>
        <v>0</v>
      </c>
      <c r="I261" s="245" t="s">
        <v>212</v>
      </c>
      <c r="J261" s="246" t="s">
        <v>601</v>
      </c>
    </row>
    <row r="262" spans="1:10" s="136" customFormat="1" ht="12.75">
      <c r="A262" s="211">
        <f t="shared" si="28"/>
        <v>238</v>
      </c>
      <c r="B262" s="212" t="s">
        <v>287</v>
      </c>
      <c r="C262" s="228" t="s">
        <v>375</v>
      </c>
      <c r="D262" s="202" t="s">
        <v>546</v>
      </c>
      <c r="E262" s="196" t="s">
        <v>70</v>
      </c>
      <c r="F262" s="197">
        <v>1</v>
      </c>
      <c r="G262" s="197"/>
      <c r="H262" s="198">
        <f aca="true" t="shared" si="29" ref="H262">F262*G262</f>
        <v>0</v>
      </c>
      <c r="I262" s="245" t="s">
        <v>212</v>
      </c>
      <c r="J262" s="246" t="s">
        <v>545</v>
      </c>
    </row>
    <row r="263" spans="1:10" s="136" customFormat="1" ht="12.75">
      <c r="A263" s="211">
        <f t="shared" si="28"/>
        <v>239</v>
      </c>
      <c r="B263" s="212" t="s">
        <v>324</v>
      </c>
      <c r="C263" s="212" t="s">
        <v>375</v>
      </c>
      <c r="D263" s="202" t="s">
        <v>547</v>
      </c>
      <c r="E263" s="196" t="s">
        <v>70</v>
      </c>
      <c r="F263" s="197">
        <v>1</v>
      </c>
      <c r="G263" s="197"/>
      <c r="H263" s="198">
        <f>F263*G263</f>
        <v>0</v>
      </c>
      <c r="I263" s="245" t="s">
        <v>212</v>
      </c>
      <c r="J263" s="246" t="s">
        <v>600</v>
      </c>
    </row>
    <row r="264" spans="1:10" s="136" customFormat="1" ht="12.75">
      <c r="A264" s="211">
        <f t="shared" si="28"/>
        <v>240</v>
      </c>
      <c r="B264" s="212" t="s">
        <v>287</v>
      </c>
      <c r="C264" s="228" t="s">
        <v>375</v>
      </c>
      <c r="D264" s="202" t="s">
        <v>546</v>
      </c>
      <c r="E264" s="196" t="s">
        <v>70</v>
      </c>
      <c r="F264" s="197">
        <v>1</v>
      </c>
      <c r="G264" s="197"/>
      <c r="H264" s="198">
        <f aca="true" t="shared" si="30" ref="H264:H275">F264*G264</f>
        <v>0</v>
      </c>
      <c r="I264" s="245" t="s">
        <v>212</v>
      </c>
      <c r="J264" s="246" t="s">
        <v>545</v>
      </c>
    </row>
    <row r="265" spans="1:10" s="136" customFormat="1" ht="12.75">
      <c r="A265" s="211">
        <f t="shared" si="28"/>
        <v>241</v>
      </c>
      <c r="B265" s="212" t="s">
        <v>318</v>
      </c>
      <c r="C265" s="228"/>
      <c r="D265" s="202" t="s">
        <v>533</v>
      </c>
      <c r="E265" s="196" t="s">
        <v>70</v>
      </c>
      <c r="F265" s="197">
        <v>2</v>
      </c>
      <c r="G265" s="197"/>
      <c r="H265" s="198">
        <f t="shared" si="30"/>
        <v>0</v>
      </c>
      <c r="I265" s="245" t="s">
        <v>477</v>
      </c>
      <c r="J265" s="246" t="s">
        <v>548</v>
      </c>
    </row>
    <row r="266" spans="1:10" s="136" customFormat="1" ht="12.75">
      <c r="A266" s="211">
        <f t="shared" si="28"/>
        <v>242</v>
      </c>
      <c r="B266" s="212" t="s">
        <v>287</v>
      </c>
      <c r="C266" s="228" t="s">
        <v>355</v>
      </c>
      <c r="D266" s="202" t="s">
        <v>550</v>
      </c>
      <c r="E266" s="196" t="s">
        <v>70</v>
      </c>
      <c r="F266" s="197">
        <f>F265</f>
        <v>2</v>
      </c>
      <c r="G266" s="197"/>
      <c r="H266" s="198">
        <f t="shared" si="30"/>
        <v>0</v>
      </c>
      <c r="I266" s="245" t="s">
        <v>477</v>
      </c>
      <c r="J266" s="246" t="s">
        <v>549</v>
      </c>
    </row>
    <row r="267" spans="1:10" s="136" customFormat="1" ht="12.75">
      <c r="A267" s="211">
        <f t="shared" si="28"/>
        <v>243</v>
      </c>
      <c r="B267" s="212" t="s">
        <v>318</v>
      </c>
      <c r="C267" s="228"/>
      <c r="D267" s="202" t="s">
        <v>551</v>
      </c>
      <c r="E267" s="196" t="s">
        <v>70</v>
      </c>
      <c r="F267" s="197">
        <v>1</v>
      </c>
      <c r="G267" s="197"/>
      <c r="H267" s="198">
        <f t="shared" si="30"/>
        <v>0</v>
      </c>
      <c r="I267" s="245" t="s">
        <v>477</v>
      </c>
      <c r="J267" s="246" t="s">
        <v>548</v>
      </c>
    </row>
    <row r="268" spans="1:10" s="136" customFormat="1" ht="12.75">
      <c r="A268" s="211">
        <f t="shared" si="28"/>
        <v>244</v>
      </c>
      <c r="B268" s="212" t="s">
        <v>287</v>
      </c>
      <c r="C268" s="228" t="s">
        <v>355</v>
      </c>
      <c r="D268" s="202" t="s">
        <v>550</v>
      </c>
      <c r="E268" s="196" t="s">
        <v>70</v>
      </c>
      <c r="F268" s="197">
        <f>F267</f>
        <v>1</v>
      </c>
      <c r="G268" s="197"/>
      <c r="H268" s="198">
        <f t="shared" si="30"/>
        <v>0</v>
      </c>
      <c r="I268" s="245" t="s">
        <v>477</v>
      </c>
      <c r="J268" s="246" t="s">
        <v>549</v>
      </c>
    </row>
    <row r="269" spans="1:10" s="136" customFormat="1" ht="20">
      <c r="A269" s="211">
        <f t="shared" si="28"/>
        <v>245</v>
      </c>
      <c r="B269" s="212" t="s">
        <v>319</v>
      </c>
      <c r="C269" s="212"/>
      <c r="D269" s="202" t="s">
        <v>558</v>
      </c>
      <c r="E269" s="196" t="s">
        <v>70</v>
      </c>
      <c r="F269" s="197">
        <v>2</v>
      </c>
      <c r="G269" s="197"/>
      <c r="H269" s="198">
        <f t="shared" si="30"/>
        <v>0</v>
      </c>
      <c r="I269" s="245"/>
      <c r="J269" s="246"/>
    </row>
    <row r="270" spans="1:10" s="136" customFormat="1" ht="12.75">
      <c r="A270" s="211">
        <f t="shared" si="28"/>
        <v>246</v>
      </c>
      <c r="B270" s="212" t="s">
        <v>360</v>
      </c>
      <c r="C270" s="212"/>
      <c r="D270" s="202" t="s">
        <v>359</v>
      </c>
      <c r="E270" s="196" t="s">
        <v>70</v>
      </c>
      <c r="F270" s="197">
        <v>2</v>
      </c>
      <c r="G270" s="197"/>
      <c r="H270" s="198">
        <f t="shared" si="30"/>
        <v>0</v>
      </c>
      <c r="I270" s="245" t="s">
        <v>542</v>
      </c>
      <c r="J270" s="246" t="s">
        <v>543</v>
      </c>
    </row>
    <row r="271" spans="1:10" s="136" customFormat="1" ht="12.75">
      <c r="A271" s="211">
        <f t="shared" si="28"/>
        <v>247</v>
      </c>
      <c r="B271" s="212" t="s">
        <v>320</v>
      </c>
      <c r="C271" s="228"/>
      <c r="D271" s="202" t="s">
        <v>190</v>
      </c>
      <c r="E271" s="196" t="s">
        <v>70</v>
      </c>
      <c r="F271" s="197">
        <v>2</v>
      </c>
      <c r="G271" s="197"/>
      <c r="H271" s="198">
        <f t="shared" si="30"/>
        <v>0</v>
      </c>
      <c r="I271" s="199"/>
      <c r="J271" s="200"/>
    </row>
    <row r="272" spans="1:10" s="136" customFormat="1" ht="12.75">
      <c r="A272" s="211">
        <f t="shared" si="28"/>
        <v>248</v>
      </c>
      <c r="B272" s="212" t="s">
        <v>321</v>
      </c>
      <c r="C272" s="228"/>
      <c r="D272" s="202" t="s">
        <v>219</v>
      </c>
      <c r="E272" s="196" t="s">
        <v>70</v>
      </c>
      <c r="F272" s="197">
        <v>4</v>
      </c>
      <c r="G272" s="197"/>
      <c r="H272" s="198">
        <f t="shared" si="30"/>
        <v>0</v>
      </c>
      <c r="I272" s="199"/>
      <c r="J272" s="200"/>
    </row>
    <row r="273" spans="1:10" s="136" customFormat="1" ht="12.75">
      <c r="A273" s="211">
        <f t="shared" si="28"/>
        <v>249</v>
      </c>
      <c r="B273" s="212" t="s">
        <v>322</v>
      </c>
      <c r="C273" s="228"/>
      <c r="D273" s="202" t="s">
        <v>211</v>
      </c>
      <c r="E273" s="196" t="s">
        <v>70</v>
      </c>
      <c r="F273" s="197">
        <v>10</v>
      </c>
      <c r="G273" s="197"/>
      <c r="H273" s="198">
        <f t="shared" si="30"/>
        <v>0</v>
      </c>
      <c r="I273" s="199"/>
      <c r="J273" s="200"/>
    </row>
    <row r="274" spans="1:10" s="136" customFormat="1" ht="12.75">
      <c r="A274" s="211">
        <f t="shared" si="28"/>
        <v>250</v>
      </c>
      <c r="B274" s="212" t="s">
        <v>573</v>
      </c>
      <c r="C274" s="228"/>
      <c r="D274" s="202" t="s">
        <v>556</v>
      </c>
      <c r="E274" s="196" t="s">
        <v>70</v>
      </c>
      <c r="F274" s="197">
        <f>SUM(F258:F259,F240:F242,F232:F235,F204:F205,F195,F177:F182,F159:F164,F123:F127)</f>
        <v>174</v>
      </c>
      <c r="G274" s="197"/>
      <c r="H274" s="198">
        <f t="shared" si="30"/>
        <v>0</v>
      </c>
      <c r="I274" s="199"/>
      <c r="J274" s="200"/>
    </row>
    <row r="275" spans="1:10" s="136" customFormat="1" ht="12.75">
      <c r="A275" s="211">
        <f t="shared" si="28"/>
        <v>251</v>
      </c>
      <c r="B275" s="212" t="s">
        <v>574</v>
      </c>
      <c r="C275" s="228"/>
      <c r="D275" s="202" t="s">
        <v>555</v>
      </c>
      <c r="E275" s="196" t="s">
        <v>70</v>
      </c>
      <c r="F275" s="197">
        <f>SUM(F269:F273,F267,F265,F263,F255:F257,F246:F249,F237:F239,F227:F230,F211:F213,F215,F141,F144:F146)</f>
        <v>155</v>
      </c>
      <c r="G275" s="197"/>
      <c r="H275" s="198">
        <f t="shared" si="30"/>
        <v>0</v>
      </c>
      <c r="I275" s="199"/>
      <c r="J275" s="200"/>
    </row>
    <row r="276" spans="1:10" s="136" customFormat="1" ht="12.75">
      <c r="A276" s="211">
        <f t="shared" si="28"/>
        <v>252</v>
      </c>
      <c r="B276" s="212" t="s">
        <v>323</v>
      </c>
      <c r="C276" s="228"/>
      <c r="D276" s="202" t="s">
        <v>183</v>
      </c>
      <c r="E276" s="196" t="s">
        <v>81</v>
      </c>
      <c r="F276" s="197">
        <v>1</v>
      </c>
      <c r="G276" s="197"/>
      <c r="H276" s="198">
        <f>F276*G276</f>
        <v>0</v>
      </c>
      <c r="I276" s="199"/>
      <c r="J276" s="200"/>
    </row>
    <row r="277" spans="1:10" s="136" customFormat="1" ht="12.75">
      <c r="A277" s="211">
        <f t="shared" si="28"/>
        <v>253</v>
      </c>
      <c r="B277" s="212" t="s">
        <v>104</v>
      </c>
      <c r="C277" s="228"/>
      <c r="D277" s="202" t="s">
        <v>105</v>
      </c>
      <c r="E277" s="196" t="s">
        <v>609</v>
      </c>
      <c r="F277" s="197">
        <v>1.9</v>
      </c>
      <c r="G277" s="197"/>
      <c r="H277" s="198">
        <f aca="true" t="shared" si="31" ref="H277">F277*G277</f>
        <v>0</v>
      </c>
      <c r="I277" s="199"/>
      <c r="J277" s="200"/>
    </row>
    <row r="278" spans="1:11" s="136" customFormat="1" ht="13">
      <c r="A278" s="233"/>
      <c r="B278" s="221" t="s">
        <v>67</v>
      </c>
      <c r="C278" s="250"/>
      <c r="D278" s="223" t="s">
        <v>110</v>
      </c>
      <c r="E278" s="233"/>
      <c r="F278" s="234"/>
      <c r="G278" s="225"/>
      <c r="H278" s="226">
        <f>SUM(H120:H277)</f>
        <v>0</v>
      </c>
      <c r="I278" s="199"/>
      <c r="J278" s="200"/>
      <c r="K278" s="136" t="e">
        <f>H278/$M$3</f>
        <v>#DIV/0!</v>
      </c>
    </row>
    <row r="279" spans="1:10" s="136" customFormat="1" ht="13">
      <c r="A279" s="214" t="s">
        <v>65</v>
      </c>
      <c r="B279" s="215" t="s">
        <v>77</v>
      </c>
      <c r="C279" s="216"/>
      <c r="D279" s="217" t="s">
        <v>78</v>
      </c>
      <c r="E279" s="218"/>
      <c r="F279" s="219"/>
      <c r="G279" s="219"/>
      <c r="H279" s="220"/>
      <c r="I279" s="199"/>
      <c r="J279" s="200"/>
    </row>
    <row r="280" spans="1:10" s="136" customFormat="1" ht="25.5" customHeight="1">
      <c r="A280" s="211">
        <f>A277+1</f>
        <v>254</v>
      </c>
      <c r="B280" s="212" t="s">
        <v>235</v>
      </c>
      <c r="C280" s="237"/>
      <c r="D280" s="202" t="s">
        <v>132</v>
      </c>
      <c r="E280" s="196" t="s">
        <v>72</v>
      </c>
      <c r="F280" s="197">
        <v>3800</v>
      </c>
      <c r="G280" s="197"/>
      <c r="H280" s="198">
        <f>F280*G280</f>
        <v>0</v>
      </c>
      <c r="I280" s="199"/>
      <c r="J280" s="200"/>
    </row>
    <row r="281" spans="1:10" s="136" customFormat="1" ht="20">
      <c r="A281" s="211">
        <f>A280+1</f>
        <v>255</v>
      </c>
      <c r="B281" s="212" t="s">
        <v>236</v>
      </c>
      <c r="C281" s="237"/>
      <c r="D281" s="202" t="s">
        <v>111</v>
      </c>
      <c r="E281" s="196" t="s">
        <v>72</v>
      </c>
      <c r="F281" s="197">
        <v>2500</v>
      </c>
      <c r="G281" s="197"/>
      <c r="H281" s="198">
        <f aca="true" t="shared" si="32" ref="H281:H285">F281*G281</f>
        <v>0</v>
      </c>
      <c r="I281" s="199"/>
      <c r="J281" s="200"/>
    </row>
    <row r="282" spans="1:10" s="136" customFormat="1" ht="12.75">
      <c r="A282" s="211">
        <f aca="true" t="shared" si="33" ref="A282:A285">A281+1</f>
        <v>256</v>
      </c>
      <c r="B282" s="212" t="s">
        <v>237</v>
      </c>
      <c r="C282" s="237"/>
      <c r="D282" s="202" t="s">
        <v>571</v>
      </c>
      <c r="E282" s="196" t="s">
        <v>72</v>
      </c>
      <c r="F282" s="197">
        <v>1800</v>
      </c>
      <c r="G282" s="197"/>
      <c r="H282" s="198">
        <f t="shared" si="32"/>
        <v>0</v>
      </c>
      <c r="I282" s="199"/>
      <c r="J282" s="200"/>
    </row>
    <row r="283" spans="1:10" s="136" customFormat="1" ht="12.75">
      <c r="A283" s="211">
        <f t="shared" si="33"/>
        <v>257</v>
      </c>
      <c r="B283" s="212" t="s">
        <v>234</v>
      </c>
      <c r="C283" s="237"/>
      <c r="D283" s="202" t="s">
        <v>494</v>
      </c>
      <c r="E283" s="196" t="s">
        <v>66</v>
      </c>
      <c r="F283" s="197">
        <v>16</v>
      </c>
      <c r="G283" s="197"/>
      <c r="H283" s="198">
        <f t="shared" si="32"/>
        <v>0</v>
      </c>
      <c r="I283" s="199"/>
      <c r="J283" s="200"/>
    </row>
    <row r="284" spans="1:12" s="136" customFormat="1" ht="12.75">
      <c r="A284" s="211">
        <f t="shared" si="33"/>
        <v>258</v>
      </c>
      <c r="B284" s="212" t="s">
        <v>572</v>
      </c>
      <c r="C284" s="237"/>
      <c r="D284" s="202" t="s">
        <v>233</v>
      </c>
      <c r="E284" s="196" t="s">
        <v>66</v>
      </c>
      <c r="F284" s="197">
        <v>6</v>
      </c>
      <c r="G284" s="203"/>
      <c r="H284" s="198">
        <f t="shared" si="32"/>
        <v>0</v>
      </c>
      <c r="I284" s="199"/>
      <c r="J284" s="200"/>
      <c r="L284" s="177"/>
    </row>
    <row r="285" spans="1:10" s="136" customFormat="1" ht="12.75">
      <c r="A285" s="211">
        <f t="shared" si="33"/>
        <v>259</v>
      </c>
      <c r="B285" s="212" t="s">
        <v>112</v>
      </c>
      <c r="C285" s="228"/>
      <c r="D285" s="202" t="s">
        <v>80</v>
      </c>
      <c r="E285" s="196" t="s">
        <v>609</v>
      </c>
      <c r="F285" s="197">
        <f>(SUM(F280:F282)+50)/1000</f>
        <v>8.15</v>
      </c>
      <c r="G285" s="197"/>
      <c r="H285" s="198">
        <f t="shared" si="32"/>
        <v>0</v>
      </c>
      <c r="I285" s="199"/>
      <c r="J285" s="200"/>
    </row>
    <row r="286" spans="1:11" s="136" customFormat="1" ht="13">
      <c r="A286" s="233"/>
      <c r="B286" s="221" t="s">
        <v>67</v>
      </c>
      <c r="C286" s="250"/>
      <c r="D286" s="223" t="s">
        <v>79</v>
      </c>
      <c r="E286" s="233"/>
      <c r="F286" s="234"/>
      <c r="G286" s="225"/>
      <c r="H286" s="226">
        <f>SUM(H280:H285)</f>
        <v>0</v>
      </c>
      <c r="I286" s="199"/>
      <c r="J286" s="200"/>
      <c r="K286" s="136" t="e">
        <f>H286/$M$3</f>
        <v>#DIV/0!</v>
      </c>
    </row>
    <row r="287" spans="1:10" s="136" customFormat="1" ht="13">
      <c r="A287" s="214" t="s">
        <v>65</v>
      </c>
      <c r="B287" s="215" t="s">
        <v>113</v>
      </c>
      <c r="C287" s="216"/>
      <c r="D287" s="217" t="s">
        <v>114</v>
      </c>
      <c r="E287" s="233"/>
      <c r="F287" s="219"/>
      <c r="G287" s="219"/>
      <c r="H287" s="220"/>
      <c r="I287" s="199"/>
      <c r="J287" s="200"/>
    </row>
    <row r="288" spans="1:10" s="136" customFormat="1" ht="12.75">
      <c r="A288" s="211">
        <f>A285+1</f>
        <v>260</v>
      </c>
      <c r="B288" s="212" t="s">
        <v>222</v>
      </c>
      <c r="C288" s="237"/>
      <c r="D288" s="202" t="s">
        <v>115</v>
      </c>
      <c r="E288" s="196" t="s">
        <v>71</v>
      </c>
      <c r="F288" s="197">
        <v>64</v>
      </c>
      <c r="G288" s="197"/>
      <c r="H288" s="198">
        <f>F288*G288</f>
        <v>0</v>
      </c>
      <c r="I288" s="199"/>
      <c r="J288" s="200"/>
    </row>
    <row r="289" spans="1:10" s="136" customFormat="1" ht="12.75">
      <c r="A289" s="211">
        <f>A288+1</f>
        <v>261</v>
      </c>
      <c r="B289" s="212" t="s">
        <v>223</v>
      </c>
      <c r="C289" s="237"/>
      <c r="D289" s="202" t="s">
        <v>202</v>
      </c>
      <c r="E289" s="196" t="s">
        <v>76</v>
      </c>
      <c r="F289" s="197">
        <f>F100</f>
        <v>2206</v>
      </c>
      <c r="G289" s="197"/>
      <c r="H289" s="198">
        <f aca="true" t="shared" si="34" ref="H289">F289*G289</f>
        <v>0</v>
      </c>
      <c r="I289" s="199"/>
      <c r="J289" s="200"/>
    </row>
    <row r="290" spans="1:10" s="136" customFormat="1" ht="12.75">
      <c r="A290" s="211">
        <f aca="true" t="shared" si="35" ref="A290">A289+1</f>
        <v>262</v>
      </c>
      <c r="B290" s="212" t="s">
        <v>224</v>
      </c>
      <c r="C290" s="237"/>
      <c r="D290" s="202" t="s">
        <v>116</v>
      </c>
      <c r="E290" s="196" t="s">
        <v>76</v>
      </c>
      <c r="F290" s="197">
        <f>F101</f>
        <v>1200</v>
      </c>
      <c r="G290" s="197"/>
      <c r="H290" s="198">
        <f>F290*G290</f>
        <v>0</v>
      </c>
      <c r="I290" s="199"/>
      <c r="J290" s="200"/>
    </row>
    <row r="291" spans="1:11" s="136" customFormat="1" ht="13">
      <c r="A291" s="211"/>
      <c r="B291" s="221" t="s">
        <v>67</v>
      </c>
      <c r="C291" s="221"/>
      <c r="D291" s="223" t="s">
        <v>117</v>
      </c>
      <c r="E291" s="233"/>
      <c r="F291" s="234"/>
      <c r="G291" s="225"/>
      <c r="H291" s="226">
        <f>SUM(H288:H290)</f>
        <v>0</v>
      </c>
      <c r="I291" s="199"/>
      <c r="J291" s="200"/>
      <c r="K291" s="136" t="e">
        <f>H291/$M$3</f>
        <v>#DIV/0!</v>
      </c>
    </row>
    <row r="292" spans="1:10" s="136" customFormat="1" ht="13">
      <c r="A292" s="211"/>
      <c r="B292" s="215" t="s">
        <v>82</v>
      </c>
      <c r="C292" s="215"/>
      <c r="D292" s="217" t="s">
        <v>141</v>
      </c>
      <c r="E292" s="233"/>
      <c r="F292" s="235"/>
      <c r="G292" s="235"/>
      <c r="H292" s="236"/>
      <c r="I292" s="199"/>
      <c r="J292" s="200"/>
    </row>
    <row r="293" spans="1:10" s="136" customFormat="1" ht="13">
      <c r="A293" s="211">
        <f>A290+1</f>
        <v>263</v>
      </c>
      <c r="B293" s="212" t="s">
        <v>404</v>
      </c>
      <c r="C293" s="215"/>
      <c r="D293" s="202" t="s">
        <v>400</v>
      </c>
      <c r="E293" s="196" t="s">
        <v>66</v>
      </c>
      <c r="F293" s="197">
        <v>1</v>
      </c>
      <c r="G293" s="197"/>
      <c r="H293" s="198">
        <f aca="true" t="shared" si="36" ref="H293:H318">F293*G293</f>
        <v>0</v>
      </c>
      <c r="I293" s="199"/>
      <c r="J293" s="200"/>
    </row>
    <row r="294" spans="1:10" s="136" customFormat="1" ht="12.75">
      <c r="A294" s="211">
        <f>A293+1</f>
        <v>264</v>
      </c>
      <c r="B294" s="212" t="s">
        <v>405</v>
      </c>
      <c r="C294" s="212"/>
      <c r="D294" s="202" t="s">
        <v>231</v>
      </c>
      <c r="E294" s="196" t="s">
        <v>81</v>
      </c>
      <c r="F294" s="197">
        <v>1</v>
      </c>
      <c r="G294" s="197"/>
      <c r="H294" s="198">
        <f t="shared" si="36"/>
        <v>0</v>
      </c>
      <c r="I294" s="199"/>
      <c r="J294" s="200"/>
    </row>
    <row r="295" spans="1:10" s="136" customFormat="1" ht="12.75">
      <c r="A295" s="211">
        <f aca="true" t="shared" si="37" ref="A295">A294+1</f>
        <v>265</v>
      </c>
      <c r="B295" s="212" t="s">
        <v>406</v>
      </c>
      <c r="C295" s="212"/>
      <c r="D295" s="202" t="s">
        <v>397</v>
      </c>
      <c r="E295" s="196" t="s">
        <v>81</v>
      </c>
      <c r="F295" s="197">
        <v>1</v>
      </c>
      <c r="G295" s="197"/>
      <c r="H295" s="198">
        <f t="shared" si="36"/>
        <v>0</v>
      </c>
      <c r="I295" s="199"/>
      <c r="J295" s="200"/>
    </row>
    <row r="296" spans="1:10" s="136" customFormat="1" ht="12.75">
      <c r="A296" s="211">
        <f aca="true" t="shared" si="38" ref="A296:A318">A295+1</f>
        <v>266</v>
      </c>
      <c r="B296" s="212" t="s">
        <v>407</v>
      </c>
      <c r="C296" s="212"/>
      <c r="D296" s="202" t="s">
        <v>401</v>
      </c>
      <c r="E296" s="196" t="s">
        <v>118</v>
      </c>
      <c r="F296" s="197">
        <v>32</v>
      </c>
      <c r="G296" s="197"/>
      <c r="H296" s="198">
        <f t="shared" si="36"/>
        <v>0</v>
      </c>
      <c r="I296" s="199"/>
      <c r="J296" s="200"/>
    </row>
    <row r="297" spans="1:10" s="136" customFormat="1" ht="12.75">
      <c r="A297" s="211">
        <f t="shared" si="38"/>
        <v>267</v>
      </c>
      <c r="B297" s="212" t="s">
        <v>408</v>
      </c>
      <c r="C297" s="212"/>
      <c r="D297" s="202" t="s">
        <v>133</v>
      </c>
      <c r="E297" s="196" t="s">
        <v>81</v>
      </c>
      <c r="F297" s="197">
        <v>1</v>
      </c>
      <c r="G297" s="197"/>
      <c r="H297" s="198">
        <f t="shared" si="36"/>
        <v>0</v>
      </c>
      <c r="I297" s="199"/>
      <c r="J297" s="200"/>
    </row>
    <row r="298" spans="1:10" s="136" customFormat="1" ht="12.75">
      <c r="A298" s="211">
        <f t="shared" si="38"/>
        <v>268</v>
      </c>
      <c r="B298" s="212" t="s">
        <v>409</v>
      </c>
      <c r="C298" s="212"/>
      <c r="D298" s="202" t="s">
        <v>191</v>
      </c>
      <c r="E298" s="196" t="s">
        <v>66</v>
      </c>
      <c r="F298" s="197">
        <v>1</v>
      </c>
      <c r="G298" s="197"/>
      <c r="H298" s="198">
        <f t="shared" si="36"/>
        <v>0</v>
      </c>
      <c r="I298" s="199"/>
      <c r="J298" s="200"/>
    </row>
    <row r="299" spans="1:10" s="136" customFormat="1" ht="12.75">
      <c r="A299" s="211">
        <f t="shared" si="38"/>
        <v>269</v>
      </c>
      <c r="B299" s="212" t="s">
        <v>410</v>
      </c>
      <c r="C299" s="212"/>
      <c r="D299" s="202" t="s">
        <v>192</v>
      </c>
      <c r="E299" s="196" t="s">
        <v>66</v>
      </c>
      <c r="F299" s="197">
        <v>1</v>
      </c>
      <c r="G299" s="197"/>
      <c r="H299" s="198">
        <f t="shared" si="36"/>
        <v>0</v>
      </c>
      <c r="I299" s="199"/>
      <c r="J299" s="200"/>
    </row>
    <row r="300" spans="1:10" s="136" customFormat="1" ht="12.75">
      <c r="A300" s="211">
        <f t="shared" si="38"/>
        <v>270</v>
      </c>
      <c r="B300" s="212" t="s">
        <v>411</v>
      </c>
      <c r="C300" s="212"/>
      <c r="D300" s="202" t="s">
        <v>193</v>
      </c>
      <c r="E300" s="196" t="s">
        <v>81</v>
      </c>
      <c r="F300" s="197">
        <v>5</v>
      </c>
      <c r="G300" s="197"/>
      <c r="H300" s="198">
        <f t="shared" si="36"/>
        <v>0</v>
      </c>
      <c r="I300" s="199"/>
      <c r="J300" s="200"/>
    </row>
    <row r="301" spans="1:10" s="136" customFormat="1" ht="12.75">
      <c r="A301" s="211">
        <f t="shared" si="38"/>
        <v>271</v>
      </c>
      <c r="B301" s="212" t="s">
        <v>412</v>
      </c>
      <c r="C301" s="212"/>
      <c r="D301" s="202" t="s">
        <v>425</v>
      </c>
      <c r="E301" s="196" t="s">
        <v>66</v>
      </c>
      <c r="F301" s="197">
        <v>1</v>
      </c>
      <c r="G301" s="197"/>
      <c r="H301" s="198">
        <f t="shared" si="36"/>
        <v>0</v>
      </c>
      <c r="I301" s="199"/>
      <c r="J301" s="200"/>
    </row>
    <row r="302" spans="1:10" s="136" customFormat="1" ht="12.75">
      <c r="A302" s="211">
        <f t="shared" si="38"/>
        <v>272</v>
      </c>
      <c r="B302" s="212" t="s">
        <v>413</v>
      </c>
      <c r="C302" s="212"/>
      <c r="D302" s="202" t="s">
        <v>426</v>
      </c>
      <c r="E302" s="196" t="s">
        <v>66</v>
      </c>
      <c r="F302" s="197">
        <v>1</v>
      </c>
      <c r="G302" s="197"/>
      <c r="H302" s="198">
        <f t="shared" si="36"/>
        <v>0</v>
      </c>
      <c r="I302" s="199"/>
      <c r="J302" s="200"/>
    </row>
    <row r="303" spans="1:10" s="136" customFormat="1" ht="12.75">
      <c r="A303" s="211">
        <f t="shared" si="38"/>
        <v>273</v>
      </c>
      <c r="B303" s="212" t="s">
        <v>414</v>
      </c>
      <c r="C303" s="212"/>
      <c r="D303" s="202" t="s">
        <v>427</v>
      </c>
      <c r="E303" s="196" t="s">
        <v>66</v>
      </c>
      <c r="F303" s="197">
        <v>1</v>
      </c>
      <c r="G303" s="197"/>
      <c r="H303" s="198">
        <f t="shared" si="36"/>
        <v>0</v>
      </c>
      <c r="I303" s="199"/>
      <c r="J303" s="200"/>
    </row>
    <row r="304" spans="1:10" s="136" customFormat="1" ht="12.75">
      <c r="A304" s="211">
        <f t="shared" si="38"/>
        <v>274</v>
      </c>
      <c r="B304" s="212" t="s">
        <v>415</v>
      </c>
      <c r="C304" s="212"/>
      <c r="D304" s="202" t="s">
        <v>428</v>
      </c>
      <c r="E304" s="196" t="s">
        <v>66</v>
      </c>
      <c r="F304" s="197">
        <v>1</v>
      </c>
      <c r="G304" s="197"/>
      <c r="H304" s="198">
        <f t="shared" si="36"/>
        <v>0</v>
      </c>
      <c r="I304" s="199"/>
      <c r="J304" s="200"/>
    </row>
    <row r="305" spans="1:10" s="149" customFormat="1" ht="20">
      <c r="A305" s="211">
        <f t="shared" si="38"/>
        <v>275</v>
      </c>
      <c r="B305" s="212" t="s">
        <v>416</v>
      </c>
      <c r="C305" s="212"/>
      <c r="D305" s="202" t="s">
        <v>174</v>
      </c>
      <c r="E305" s="196" t="s">
        <v>66</v>
      </c>
      <c r="F305" s="197">
        <v>48</v>
      </c>
      <c r="G305" s="197"/>
      <c r="H305" s="198">
        <f t="shared" si="36"/>
        <v>0</v>
      </c>
      <c r="I305" s="199"/>
      <c r="J305" s="200"/>
    </row>
    <row r="306" spans="1:10" s="136" customFormat="1" ht="12.75">
      <c r="A306" s="211">
        <f t="shared" si="38"/>
        <v>276</v>
      </c>
      <c r="B306" s="212" t="s">
        <v>417</v>
      </c>
      <c r="C306" s="212"/>
      <c r="D306" s="202" t="s">
        <v>119</v>
      </c>
      <c r="E306" s="196" t="s">
        <v>81</v>
      </c>
      <c r="F306" s="197">
        <v>1</v>
      </c>
      <c r="G306" s="197"/>
      <c r="H306" s="198">
        <f t="shared" si="36"/>
        <v>0</v>
      </c>
      <c r="I306" s="199"/>
      <c r="J306" s="200"/>
    </row>
    <row r="307" spans="1:10" s="136" customFormat="1" ht="12.75">
      <c r="A307" s="211">
        <f t="shared" si="38"/>
        <v>277</v>
      </c>
      <c r="B307" s="212" t="s">
        <v>418</v>
      </c>
      <c r="C307" s="212"/>
      <c r="D307" s="202" t="s">
        <v>501</v>
      </c>
      <c r="E307" s="196" t="s">
        <v>502</v>
      </c>
      <c r="F307" s="197">
        <v>4.2</v>
      </c>
      <c r="G307" s="197"/>
      <c r="H307" s="198">
        <f t="shared" si="36"/>
        <v>0</v>
      </c>
      <c r="I307" s="199"/>
      <c r="J307" s="200"/>
    </row>
    <row r="308" spans="1:10" s="136" customFormat="1" ht="12.75">
      <c r="A308" s="211">
        <f t="shared" si="38"/>
        <v>278</v>
      </c>
      <c r="B308" s="212" t="s">
        <v>419</v>
      </c>
      <c r="C308" s="212"/>
      <c r="D308" s="202" t="s">
        <v>120</v>
      </c>
      <c r="E308" s="196" t="s">
        <v>87</v>
      </c>
      <c r="F308" s="197">
        <v>24</v>
      </c>
      <c r="G308" s="197"/>
      <c r="H308" s="198">
        <f t="shared" si="36"/>
        <v>0</v>
      </c>
      <c r="I308" s="199"/>
      <c r="J308" s="200"/>
    </row>
    <row r="309" spans="1:10" s="136" customFormat="1" ht="12.75">
      <c r="A309" s="211">
        <f t="shared" si="38"/>
        <v>279</v>
      </c>
      <c r="B309" s="212" t="s">
        <v>420</v>
      </c>
      <c r="C309" s="212"/>
      <c r="D309" s="202" t="s">
        <v>175</v>
      </c>
      <c r="E309" s="196" t="s">
        <v>87</v>
      </c>
      <c r="F309" s="197">
        <v>19</v>
      </c>
      <c r="G309" s="197"/>
      <c r="H309" s="198">
        <f t="shared" si="36"/>
        <v>0</v>
      </c>
      <c r="I309" s="199"/>
      <c r="J309" s="200"/>
    </row>
    <row r="310" spans="1:10" s="136" customFormat="1" ht="12.75">
      <c r="A310" s="211">
        <f t="shared" si="38"/>
        <v>280</v>
      </c>
      <c r="B310" s="212" t="s">
        <v>421</v>
      </c>
      <c r="C310" s="212"/>
      <c r="D310" s="202" t="s">
        <v>146</v>
      </c>
      <c r="E310" s="196" t="s">
        <v>87</v>
      </c>
      <c r="F310" s="197">
        <v>48</v>
      </c>
      <c r="G310" s="197"/>
      <c r="H310" s="198">
        <f t="shared" si="36"/>
        <v>0</v>
      </c>
      <c r="I310" s="199"/>
      <c r="J310" s="200"/>
    </row>
    <row r="311" spans="1:10" s="136" customFormat="1" ht="12.75">
      <c r="A311" s="211">
        <f t="shared" si="38"/>
        <v>281</v>
      </c>
      <c r="B311" s="212" t="s">
        <v>422</v>
      </c>
      <c r="C311" s="212"/>
      <c r="D311" s="202" t="s">
        <v>403</v>
      </c>
      <c r="E311" s="196" t="s">
        <v>87</v>
      </c>
      <c r="F311" s="197">
        <v>12</v>
      </c>
      <c r="G311" s="197"/>
      <c r="H311" s="198">
        <f t="shared" si="36"/>
        <v>0</v>
      </c>
      <c r="I311" s="199"/>
      <c r="J311" s="200"/>
    </row>
    <row r="312" spans="1:10" s="136" customFormat="1" ht="12.75">
      <c r="A312" s="211">
        <f t="shared" si="38"/>
        <v>282</v>
      </c>
      <c r="B312" s="212" t="s">
        <v>423</v>
      </c>
      <c r="C312" s="212"/>
      <c r="D312" s="202" t="s">
        <v>402</v>
      </c>
      <c r="E312" s="196" t="s">
        <v>87</v>
      </c>
      <c r="F312" s="197">
        <v>22</v>
      </c>
      <c r="G312" s="197"/>
      <c r="H312" s="197">
        <f t="shared" si="36"/>
        <v>0</v>
      </c>
      <c r="I312" s="199"/>
      <c r="J312" s="200"/>
    </row>
    <row r="313" spans="1:10" s="136" customFormat="1" ht="12.75">
      <c r="A313" s="211">
        <f t="shared" si="38"/>
        <v>283</v>
      </c>
      <c r="B313" s="212" t="s">
        <v>424</v>
      </c>
      <c r="C313" s="212"/>
      <c r="D313" s="254" t="s">
        <v>597</v>
      </c>
      <c r="E313" s="196" t="s">
        <v>66</v>
      </c>
      <c r="F313" s="197">
        <v>1</v>
      </c>
      <c r="G313" s="197"/>
      <c r="H313" s="197">
        <f t="shared" si="36"/>
        <v>0</v>
      </c>
      <c r="I313" s="199"/>
      <c r="J313" s="200"/>
    </row>
    <row r="314" spans="1:10" s="136" customFormat="1" ht="12.75">
      <c r="A314" s="211">
        <f t="shared" si="38"/>
        <v>284</v>
      </c>
      <c r="B314" s="212" t="s">
        <v>430</v>
      </c>
      <c r="C314" s="212"/>
      <c r="D314" s="254" t="s">
        <v>598</v>
      </c>
      <c r="E314" s="196" t="s">
        <v>66</v>
      </c>
      <c r="F314" s="197">
        <v>1</v>
      </c>
      <c r="G314" s="197"/>
      <c r="H314" s="198">
        <f t="shared" si="36"/>
        <v>0</v>
      </c>
      <c r="I314" s="199"/>
      <c r="J314" s="200"/>
    </row>
    <row r="315" spans="1:10" s="136" customFormat="1" ht="12.75">
      <c r="A315" s="211">
        <f t="shared" si="38"/>
        <v>285</v>
      </c>
      <c r="B315" s="212" t="s">
        <v>431</v>
      </c>
      <c r="C315" s="212"/>
      <c r="D315" s="202" t="s">
        <v>232</v>
      </c>
      <c r="E315" s="196" t="s">
        <v>87</v>
      </c>
      <c r="F315" s="197">
        <v>124</v>
      </c>
      <c r="G315" s="197"/>
      <c r="H315" s="198">
        <f t="shared" si="36"/>
        <v>0</v>
      </c>
      <c r="I315" s="199"/>
      <c r="J315" s="200"/>
    </row>
    <row r="316" spans="1:10" s="136" customFormat="1" ht="60">
      <c r="A316" s="211">
        <f t="shared" si="38"/>
        <v>286</v>
      </c>
      <c r="B316" s="212" t="s">
        <v>432</v>
      </c>
      <c r="C316" s="212"/>
      <c r="D316" s="202" t="s">
        <v>378</v>
      </c>
      <c r="E316" s="196" t="s">
        <v>3</v>
      </c>
      <c r="F316" s="197">
        <v>0.7</v>
      </c>
      <c r="G316" s="197"/>
      <c r="H316" s="198">
        <f>F316*G316/100</f>
        <v>0</v>
      </c>
      <c r="I316" s="199"/>
      <c r="J316" s="200"/>
    </row>
    <row r="317" spans="1:10" s="136" customFormat="1" ht="20">
      <c r="A317" s="211">
        <f t="shared" si="38"/>
        <v>287</v>
      </c>
      <c r="B317" s="212" t="s">
        <v>433</v>
      </c>
      <c r="C317" s="212"/>
      <c r="D317" s="202" t="s">
        <v>121</v>
      </c>
      <c r="E317" s="196" t="s">
        <v>87</v>
      </c>
      <c r="F317" s="197">
        <v>30</v>
      </c>
      <c r="G317" s="197"/>
      <c r="H317" s="198">
        <f t="shared" si="36"/>
        <v>0</v>
      </c>
      <c r="I317" s="199"/>
      <c r="J317" s="200"/>
    </row>
    <row r="318" spans="1:10" s="136" customFormat="1" ht="12.75">
      <c r="A318" s="211">
        <f t="shared" si="38"/>
        <v>288</v>
      </c>
      <c r="B318" s="212" t="s">
        <v>599</v>
      </c>
      <c r="C318" s="212"/>
      <c r="D318" s="202" t="s">
        <v>134</v>
      </c>
      <c r="E318" s="196" t="s">
        <v>87</v>
      </c>
      <c r="F318" s="197">
        <v>72</v>
      </c>
      <c r="G318" s="197"/>
      <c r="H318" s="198">
        <f t="shared" si="36"/>
        <v>0</v>
      </c>
      <c r="I318" s="199"/>
      <c r="J318" s="200"/>
    </row>
    <row r="319" spans="1:11" s="136" customFormat="1" ht="13">
      <c r="A319" s="233"/>
      <c r="B319" s="221" t="s">
        <v>67</v>
      </c>
      <c r="C319" s="221"/>
      <c r="D319" s="223" t="s">
        <v>122</v>
      </c>
      <c r="E319" s="233"/>
      <c r="F319" s="234"/>
      <c r="G319" s="234"/>
      <c r="H319" s="226">
        <f>SUM(H292:H318)</f>
        <v>0</v>
      </c>
      <c r="I319" s="199"/>
      <c r="J319" s="200"/>
      <c r="K319" s="136" t="e">
        <f>H319/$M$3</f>
        <v>#DIV/0!</v>
      </c>
    </row>
    <row r="320" spans="1:10" s="136" customFormat="1" ht="58.5" customHeight="1">
      <c r="A320" s="174"/>
      <c r="B320" s="174"/>
      <c r="C320" s="174"/>
      <c r="D320" s="175" t="s">
        <v>172</v>
      </c>
      <c r="E320" s="174"/>
      <c r="F320" s="174"/>
      <c r="G320" s="174"/>
      <c r="H320" s="174"/>
      <c r="I320" s="147"/>
      <c r="J320" s="145"/>
    </row>
    <row r="321" spans="1:10" s="136" customFormat="1" ht="30">
      <c r="A321" s="174"/>
      <c r="B321" s="174"/>
      <c r="C321" s="174"/>
      <c r="D321" s="175" t="s">
        <v>173</v>
      </c>
      <c r="E321" s="174"/>
      <c r="F321" s="174"/>
      <c r="G321" s="174"/>
      <c r="H321" s="174"/>
      <c r="I321" s="147"/>
      <c r="J321" s="145"/>
    </row>
    <row r="322" spans="1:10" s="136" customFormat="1" ht="80">
      <c r="A322" s="174"/>
      <c r="B322" s="174"/>
      <c r="C322" s="174"/>
      <c r="D322" s="175" t="s">
        <v>157</v>
      </c>
      <c r="E322" s="174"/>
      <c r="F322" s="174"/>
      <c r="G322" s="174"/>
      <c r="H322" s="174"/>
      <c r="I322" s="147"/>
      <c r="J322" s="145"/>
    </row>
    <row r="323" spans="1:10" s="136" customFormat="1" ht="20">
      <c r="A323" s="174"/>
      <c r="B323" s="174"/>
      <c r="C323" s="174"/>
      <c r="D323" s="176" t="s">
        <v>156</v>
      </c>
      <c r="E323" s="174"/>
      <c r="F323" s="174"/>
      <c r="G323" s="174"/>
      <c r="H323" s="174"/>
      <c r="I323" s="147"/>
      <c r="J323" s="145"/>
    </row>
    <row r="324" spans="6:12" s="136" customFormat="1" ht="12.75">
      <c r="F324" s="162"/>
      <c r="G324" s="136">
        <f>SUM(H8:H319)/2</f>
        <v>0</v>
      </c>
      <c r="H324" s="177">
        <f>H39+H49+H88+H118+H278+H286+H291+H319</f>
        <v>0</v>
      </c>
      <c r="I324" s="147"/>
      <c r="J324" s="178">
        <f>SUM(H8:H319)/2</f>
        <v>0</v>
      </c>
      <c r="K324" s="136" t="e">
        <f>SUM(K7:K323)</f>
        <v>#DIV/0!</v>
      </c>
      <c r="L324" s="178" t="e">
        <f>SUM(#REF!)/2</f>
        <v>#REF!</v>
      </c>
    </row>
  </sheetData>
  <mergeCells count="5">
    <mergeCell ref="A1:H1"/>
    <mergeCell ref="A3:B3"/>
    <mergeCell ref="A4:B4"/>
    <mergeCell ref="F4:H4"/>
    <mergeCell ref="I3:J4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portrait" paperSize="9" scale="61" r:id="rId1"/>
  <headerFooter alignWithMargins="0">
    <oddFooter>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Ferebauer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Ferebauer</dc:creator>
  <cp:keywords/>
  <dc:description/>
  <cp:lastModifiedBy>Michaela Machálková</cp:lastModifiedBy>
  <cp:lastPrinted>2018-02-06T16:10:34Z</cp:lastPrinted>
  <dcterms:created xsi:type="dcterms:W3CDTF">2014-01-27T07:40:27Z</dcterms:created>
  <dcterms:modified xsi:type="dcterms:W3CDTF">2018-02-19T18:46:26Z</dcterms:modified>
  <cp:category/>
  <cp:version/>
  <cp:contentType/>
  <cp:contentStatus/>
</cp:coreProperties>
</file>