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filterPrivacy="1" defaultThemeVersion="124226"/>
  <xr:revisionPtr revIDLastSave="0" documentId="8_{EA5FC26E-4C71-47D8-9E64-EFFD90A57A64}" xr6:coauthVersionLast="36" xr6:coauthVersionMax="36" xr10:uidLastSave="{00000000-0000-0000-0000-000000000000}"/>
  <bookViews>
    <workbookView xWindow="-28920" yWindow="-120" windowWidth="29040" windowHeight="17640" xr2:uid="{00000000-000D-0000-FFFF-FFFF00000000}"/>
  </bookViews>
  <sheets>
    <sheet name="List1" sheetId="6" r:id="rId1"/>
  </sheets>
  <definedNames>
    <definedName name="_xlnm._FilterDatabase" localSheetId="0" hidden="1">List1!$A$3:$L$162</definedName>
    <definedName name="_xlnm.Print_Titles" localSheetId="0">List1!$1:$3</definedName>
    <definedName name="_xlnm.Print_Area" localSheetId="0">List1!$A$1:$U$162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F85" i="6" l="1"/>
  <c r="F61" i="6"/>
  <c r="L161" i="6" l="1"/>
  <c r="O6" i="6"/>
  <c r="P6" i="6"/>
  <c r="Q6" i="6"/>
  <c r="R6" i="6"/>
  <c r="M7" i="6"/>
  <c r="N7" i="6"/>
  <c r="M8" i="6"/>
  <c r="N8" i="6"/>
  <c r="Q9" i="6"/>
  <c r="R9" i="6"/>
  <c r="M10" i="6"/>
  <c r="N10" i="6"/>
  <c r="M11" i="6"/>
  <c r="N11" i="6"/>
  <c r="M13" i="6"/>
  <c r="N13" i="6"/>
  <c r="O13" i="6"/>
  <c r="P13" i="6"/>
  <c r="M14" i="6"/>
  <c r="N14" i="6"/>
  <c r="Q14" i="6"/>
  <c r="R14" i="6"/>
  <c r="M15" i="6"/>
  <c r="N15" i="6"/>
  <c r="M16" i="6"/>
  <c r="N16" i="6"/>
  <c r="M17" i="6"/>
  <c r="N17" i="6"/>
  <c r="Q17" i="6"/>
  <c r="R17" i="6"/>
  <c r="M18" i="6"/>
  <c r="N18" i="6"/>
  <c r="Q18" i="6"/>
  <c r="R18" i="6"/>
  <c r="M19" i="6"/>
  <c r="N19" i="6"/>
  <c r="O19" i="6"/>
  <c r="P19" i="6"/>
  <c r="M20" i="6"/>
  <c r="N20" i="6"/>
  <c r="O20" i="6"/>
  <c r="P20" i="6"/>
  <c r="M21" i="6"/>
  <c r="N21" i="6"/>
  <c r="O21" i="6"/>
  <c r="P21" i="6"/>
  <c r="M22" i="6"/>
  <c r="N22" i="6"/>
  <c r="O22" i="6"/>
  <c r="P22" i="6"/>
  <c r="M25" i="6"/>
  <c r="N25" i="6"/>
  <c r="Q25" i="6"/>
  <c r="R25" i="6"/>
  <c r="O26" i="6"/>
  <c r="P26" i="6"/>
  <c r="M27" i="6"/>
  <c r="N27" i="6"/>
  <c r="M28" i="6"/>
  <c r="N28" i="6"/>
  <c r="Q28" i="6"/>
  <c r="R28" i="6"/>
  <c r="M29" i="6"/>
  <c r="N29" i="6"/>
  <c r="Q29" i="6"/>
  <c r="R29" i="6"/>
  <c r="M30" i="6"/>
  <c r="N30" i="6"/>
  <c r="O30" i="6"/>
  <c r="P30" i="6"/>
  <c r="Q30" i="6"/>
  <c r="R30" i="6"/>
  <c r="M31" i="6"/>
  <c r="N31" i="6"/>
  <c r="M32" i="6"/>
  <c r="N32" i="6"/>
  <c r="Q32" i="6"/>
  <c r="R32" i="6"/>
  <c r="M33" i="6"/>
  <c r="N33" i="6"/>
  <c r="Q33" i="6"/>
  <c r="R33" i="6"/>
  <c r="M34" i="6"/>
  <c r="N34" i="6"/>
  <c r="O34" i="6"/>
  <c r="P34" i="6"/>
  <c r="M35" i="6"/>
  <c r="N35" i="6"/>
  <c r="O35" i="6"/>
  <c r="P35" i="6"/>
  <c r="Q35" i="6"/>
  <c r="R35" i="6"/>
  <c r="M39" i="6"/>
  <c r="N39" i="6"/>
  <c r="M40" i="6"/>
  <c r="N40" i="6"/>
  <c r="O40" i="6"/>
  <c r="P40" i="6"/>
  <c r="Q40" i="6"/>
  <c r="R40" i="6"/>
  <c r="M41" i="6"/>
  <c r="N41" i="6"/>
  <c r="M42" i="6"/>
  <c r="N42" i="6"/>
  <c r="Q42" i="6"/>
  <c r="R42" i="6"/>
  <c r="M43" i="6"/>
  <c r="N43" i="6"/>
  <c r="M44" i="6"/>
  <c r="N44" i="6"/>
  <c r="M45" i="6"/>
  <c r="N45" i="6"/>
  <c r="Q45" i="6"/>
  <c r="R45" i="6"/>
  <c r="M46" i="6"/>
  <c r="N46" i="6"/>
  <c r="Q46" i="6"/>
  <c r="R46" i="6"/>
  <c r="M47" i="6"/>
  <c r="N47" i="6"/>
  <c r="O47" i="6"/>
  <c r="P47" i="6"/>
  <c r="Q47" i="6"/>
  <c r="R47" i="6"/>
  <c r="M49" i="6"/>
  <c r="N49" i="6"/>
  <c r="Q49" i="6"/>
  <c r="R49" i="6"/>
  <c r="M51" i="6"/>
  <c r="N51" i="6"/>
  <c r="Q51" i="6"/>
  <c r="R51" i="6"/>
  <c r="M52" i="6"/>
  <c r="N52" i="6"/>
  <c r="O52" i="6"/>
  <c r="P52" i="6"/>
  <c r="Q52" i="6"/>
  <c r="R52" i="6"/>
  <c r="M53" i="6"/>
  <c r="N53" i="6"/>
  <c r="Q53" i="6"/>
  <c r="R53" i="6"/>
  <c r="M55" i="6"/>
  <c r="N55" i="6"/>
  <c r="Q55" i="6"/>
  <c r="R55" i="6"/>
  <c r="M56" i="6"/>
  <c r="N56" i="6"/>
  <c r="Q56" i="6"/>
  <c r="R56" i="6"/>
  <c r="M57" i="6"/>
  <c r="N57" i="6"/>
  <c r="M58" i="6"/>
  <c r="N58" i="6"/>
  <c r="M59" i="6"/>
  <c r="N59" i="6"/>
  <c r="Q59" i="6"/>
  <c r="R59" i="6"/>
  <c r="Q60" i="6"/>
  <c r="R60" i="6"/>
  <c r="M63" i="6"/>
  <c r="N63" i="6"/>
  <c r="Q63" i="6"/>
  <c r="R63" i="6"/>
  <c r="M64" i="6"/>
  <c r="N64" i="6"/>
  <c r="Q64" i="6"/>
  <c r="R64" i="6"/>
  <c r="M66" i="6"/>
  <c r="N66" i="6"/>
  <c r="M68" i="6"/>
  <c r="N68" i="6"/>
  <c r="O70" i="6"/>
  <c r="P70" i="6"/>
  <c r="Q70" i="6"/>
  <c r="R70" i="6"/>
  <c r="M72" i="6"/>
  <c r="N72" i="6"/>
  <c r="M74" i="6"/>
  <c r="N74" i="6"/>
  <c r="Q74" i="6"/>
  <c r="R74" i="6"/>
  <c r="O75" i="6"/>
  <c r="P75" i="6"/>
  <c r="Q75" i="6"/>
  <c r="R75" i="6"/>
  <c r="M77" i="6"/>
  <c r="N77" i="6"/>
  <c r="O77" i="6"/>
  <c r="P77" i="6"/>
  <c r="Q77" i="6"/>
  <c r="R77" i="6"/>
  <c r="M79" i="6"/>
  <c r="N79" i="6"/>
  <c r="Q79" i="6"/>
  <c r="R79" i="6"/>
  <c r="M80" i="6"/>
  <c r="N80" i="6"/>
  <c r="M81" i="6"/>
  <c r="N81" i="6"/>
  <c r="Q81" i="6"/>
  <c r="R81" i="6"/>
  <c r="M82" i="6"/>
  <c r="N82" i="6"/>
  <c r="Q82" i="6"/>
  <c r="R82" i="6"/>
  <c r="O83" i="6"/>
  <c r="P83" i="6"/>
  <c r="M84" i="6"/>
  <c r="N84" i="6"/>
  <c r="M86" i="6"/>
  <c r="N86" i="6"/>
  <c r="Q86" i="6"/>
  <c r="R86" i="6"/>
  <c r="M88" i="6"/>
  <c r="N88" i="6"/>
  <c r="O88" i="6"/>
  <c r="P88" i="6"/>
  <c r="M89" i="6"/>
  <c r="N89" i="6"/>
  <c r="Q89" i="6"/>
  <c r="R89" i="6"/>
  <c r="M90" i="6"/>
  <c r="N90" i="6"/>
  <c r="O90" i="6"/>
  <c r="P90" i="6"/>
  <c r="Q90" i="6"/>
  <c r="R90" i="6"/>
  <c r="O91" i="6"/>
  <c r="P91" i="6"/>
  <c r="Q91" i="6"/>
  <c r="R91" i="6"/>
  <c r="M93" i="6"/>
  <c r="N93" i="6"/>
  <c r="Q93" i="6"/>
  <c r="R93" i="6"/>
  <c r="M94" i="6"/>
  <c r="N94" i="6"/>
  <c r="M95" i="6"/>
  <c r="N95" i="6"/>
  <c r="O95" i="6"/>
  <c r="P95" i="6"/>
  <c r="Q95" i="6"/>
  <c r="R95" i="6"/>
  <c r="M96" i="6"/>
  <c r="N96" i="6"/>
  <c r="O96" i="6"/>
  <c r="P96" i="6"/>
  <c r="M97" i="6"/>
  <c r="N97" i="6"/>
  <c r="O97" i="6"/>
  <c r="P97" i="6"/>
  <c r="M98" i="6"/>
  <c r="N98" i="6"/>
  <c r="O98" i="6"/>
  <c r="P98" i="6"/>
  <c r="Q98" i="6"/>
  <c r="R98" i="6"/>
  <c r="M99" i="6"/>
  <c r="N99" i="6"/>
  <c r="O99" i="6"/>
  <c r="P99" i="6"/>
  <c r="Q99" i="6"/>
  <c r="R99" i="6"/>
  <c r="M100" i="6"/>
  <c r="N100" i="6"/>
  <c r="O100" i="6"/>
  <c r="P100" i="6"/>
  <c r="Q100" i="6"/>
  <c r="R100" i="6"/>
  <c r="M101" i="6"/>
  <c r="N101" i="6"/>
  <c r="M102" i="6"/>
  <c r="N102" i="6"/>
  <c r="O102" i="6"/>
  <c r="P102" i="6"/>
  <c r="M103" i="6"/>
  <c r="N103" i="6"/>
  <c r="O103" i="6"/>
  <c r="P103" i="6"/>
  <c r="M104" i="6"/>
  <c r="N104" i="6"/>
  <c r="O104" i="6"/>
  <c r="P104" i="6"/>
  <c r="M105" i="6"/>
  <c r="N105" i="6"/>
  <c r="O105" i="6"/>
  <c r="P105" i="6"/>
  <c r="M106" i="6"/>
  <c r="N106" i="6"/>
  <c r="M107" i="6"/>
  <c r="N107" i="6"/>
  <c r="Q107" i="6"/>
  <c r="R107" i="6"/>
  <c r="M108" i="6"/>
  <c r="N108" i="6"/>
  <c r="Q108" i="6"/>
  <c r="R108" i="6"/>
  <c r="M109" i="6"/>
  <c r="N109" i="6"/>
  <c r="M110" i="6"/>
  <c r="N110" i="6"/>
  <c r="O110" i="6"/>
  <c r="P110" i="6"/>
  <c r="Q110" i="6"/>
  <c r="R110" i="6"/>
  <c r="M111" i="6"/>
  <c r="N111" i="6"/>
  <c r="O111" i="6"/>
  <c r="P111" i="6"/>
  <c r="Q111" i="6"/>
  <c r="R111" i="6"/>
  <c r="M112" i="6"/>
  <c r="N112" i="6"/>
  <c r="O112" i="6"/>
  <c r="P112" i="6"/>
  <c r="M113" i="6"/>
  <c r="N113" i="6"/>
  <c r="M114" i="6"/>
  <c r="N114" i="6"/>
  <c r="O114" i="6"/>
  <c r="P114" i="6"/>
  <c r="M115" i="6"/>
  <c r="N115" i="6"/>
  <c r="O115" i="6"/>
  <c r="P115" i="6"/>
  <c r="M116" i="6"/>
  <c r="N116" i="6"/>
  <c r="O116" i="6"/>
  <c r="P116" i="6"/>
  <c r="Q116" i="6"/>
  <c r="R116" i="6"/>
  <c r="M117" i="6"/>
  <c r="N117" i="6"/>
  <c r="O117" i="6"/>
  <c r="P117" i="6"/>
  <c r="Q117" i="6"/>
  <c r="R117" i="6"/>
  <c r="M118" i="6"/>
  <c r="N118" i="6"/>
  <c r="M119" i="6"/>
  <c r="N119" i="6"/>
  <c r="Q119" i="6"/>
  <c r="R119" i="6"/>
  <c r="M120" i="6"/>
  <c r="N120" i="6"/>
  <c r="M121" i="6"/>
  <c r="N121" i="6"/>
  <c r="Q121" i="6"/>
  <c r="R121" i="6"/>
  <c r="M122" i="6"/>
  <c r="N122" i="6"/>
  <c r="O122" i="6"/>
  <c r="P122" i="6"/>
  <c r="M123" i="6"/>
  <c r="N123" i="6"/>
  <c r="Q123" i="6"/>
  <c r="R123" i="6"/>
  <c r="M124" i="6"/>
  <c r="N124" i="6"/>
  <c r="Q124" i="6"/>
  <c r="R124" i="6"/>
  <c r="M125" i="6"/>
  <c r="N125" i="6"/>
  <c r="O125" i="6"/>
  <c r="P125" i="6"/>
  <c r="M126" i="6"/>
  <c r="N126" i="6"/>
  <c r="O126" i="6"/>
  <c r="P126" i="6"/>
  <c r="M127" i="6"/>
  <c r="N127" i="6"/>
  <c r="Q127" i="6"/>
  <c r="R127" i="6"/>
  <c r="M128" i="6"/>
  <c r="N128" i="6"/>
  <c r="O128" i="6"/>
  <c r="P128" i="6"/>
  <c r="Q128" i="6"/>
  <c r="R128" i="6"/>
  <c r="M129" i="6"/>
  <c r="N129" i="6"/>
  <c r="Q129" i="6"/>
  <c r="R129" i="6"/>
  <c r="M130" i="6"/>
  <c r="N130" i="6"/>
  <c r="O130" i="6"/>
  <c r="P130" i="6"/>
  <c r="Q130" i="6"/>
  <c r="R130" i="6"/>
  <c r="M131" i="6"/>
  <c r="N131" i="6"/>
  <c r="O131" i="6"/>
  <c r="P131" i="6"/>
  <c r="M132" i="6"/>
  <c r="N132" i="6"/>
  <c r="O132" i="6"/>
  <c r="P132" i="6"/>
  <c r="M133" i="6"/>
  <c r="N133" i="6"/>
  <c r="M134" i="6"/>
  <c r="N134" i="6"/>
  <c r="O134" i="6"/>
  <c r="P134" i="6"/>
  <c r="Q134" i="6"/>
  <c r="R134" i="6"/>
  <c r="M135" i="6"/>
  <c r="N135" i="6"/>
  <c r="O135" i="6"/>
  <c r="P135" i="6"/>
  <c r="Q135" i="6"/>
  <c r="R135" i="6"/>
  <c r="M136" i="6"/>
  <c r="N136" i="6"/>
  <c r="O136" i="6"/>
  <c r="P136" i="6"/>
  <c r="Q136" i="6"/>
  <c r="R136" i="6"/>
  <c r="M137" i="6"/>
  <c r="N137" i="6"/>
  <c r="O137" i="6"/>
  <c r="P137" i="6"/>
  <c r="Q137" i="6"/>
  <c r="R137" i="6"/>
  <c r="M138" i="6"/>
  <c r="N138" i="6"/>
  <c r="O138" i="6"/>
  <c r="P138" i="6"/>
  <c r="Q138" i="6"/>
  <c r="R138" i="6"/>
  <c r="M141" i="6"/>
  <c r="N141" i="6"/>
  <c r="Q141" i="6"/>
  <c r="R141" i="6"/>
  <c r="R4" i="6"/>
  <c r="Q4" i="6"/>
  <c r="N4" i="6"/>
  <c r="M4" i="6"/>
  <c r="F24" i="6" l="1"/>
  <c r="F38" i="6"/>
  <c r="F50" i="6"/>
  <c r="H47" i="6"/>
  <c r="G12" i="6"/>
  <c r="G13" i="6"/>
  <c r="G76" i="6"/>
  <c r="H77" i="6"/>
  <c r="E83" i="6"/>
  <c r="H134" i="6"/>
  <c r="J134" i="6" s="1"/>
  <c r="H135" i="6"/>
  <c r="H136" i="6"/>
  <c r="H137" i="6"/>
  <c r="H138" i="6"/>
  <c r="L138" i="6" s="1"/>
  <c r="G114" i="6"/>
  <c r="G133" i="6"/>
  <c r="G118" i="6"/>
  <c r="F124" i="6"/>
  <c r="F123" i="6"/>
  <c r="G122" i="6"/>
  <c r="F121" i="6"/>
  <c r="Q114" i="6" l="1"/>
  <c r="R114" i="6"/>
  <c r="O38" i="6"/>
  <c r="P38" i="6"/>
  <c r="H121" i="6"/>
  <c r="L121" i="6" s="1"/>
  <c r="O121" i="6"/>
  <c r="P121" i="6"/>
  <c r="R12" i="6"/>
  <c r="Q12" i="6"/>
  <c r="H122" i="6"/>
  <c r="J122" i="6" s="1"/>
  <c r="Q122" i="6"/>
  <c r="R122" i="6"/>
  <c r="H123" i="6"/>
  <c r="J123" i="6" s="1"/>
  <c r="O123" i="6"/>
  <c r="P123" i="6"/>
  <c r="O50" i="6"/>
  <c r="P50" i="6"/>
  <c r="H124" i="6"/>
  <c r="J124" i="6" s="1"/>
  <c r="O124" i="6"/>
  <c r="P124" i="6"/>
  <c r="Q118" i="6"/>
  <c r="R118" i="6"/>
  <c r="M83" i="6"/>
  <c r="N83" i="6"/>
  <c r="O24" i="6"/>
  <c r="P24" i="6"/>
  <c r="Q133" i="6"/>
  <c r="R133" i="6"/>
  <c r="R76" i="6"/>
  <c r="Q76" i="6"/>
  <c r="H13" i="6"/>
  <c r="L13" i="6" s="1"/>
  <c r="Q13" i="6"/>
  <c r="R13" i="6"/>
  <c r="L134" i="6"/>
  <c r="J135" i="6"/>
  <c r="L77" i="6"/>
  <c r="J77" i="6"/>
  <c r="L137" i="6"/>
  <c r="J137" i="6"/>
  <c r="L136" i="6"/>
  <c r="J136" i="6"/>
  <c r="L135" i="6"/>
  <c r="J138" i="6"/>
  <c r="G44" i="6"/>
  <c r="G43" i="6"/>
  <c r="G92" i="6"/>
  <c r="G106" i="6"/>
  <c r="G16" i="6"/>
  <c r="G15" i="6"/>
  <c r="G41" i="6"/>
  <c r="G38" i="6"/>
  <c r="G37" i="6"/>
  <c r="G36" i="6"/>
  <c r="G57" i="6"/>
  <c r="G80" i="6"/>
  <c r="G78" i="6"/>
  <c r="G50" i="6"/>
  <c r="G73" i="6"/>
  <c r="G72" i="6"/>
  <c r="G69" i="6"/>
  <c r="G68" i="6"/>
  <c r="G67" i="6"/>
  <c r="G66" i="6"/>
  <c r="G65" i="6"/>
  <c r="G62" i="6"/>
  <c r="G61" i="6"/>
  <c r="G58" i="6"/>
  <c r="G48" i="6"/>
  <c r="G11" i="6"/>
  <c r="G10" i="6"/>
  <c r="G8" i="6"/>
  <c r="G7" i="6"/>
  <c r="G22" i="6"/>
  <c r="G21" i="6"/>
  <c r="G20" i="6"/>
  <c r="G132" i="6"/>
  <c r="G84" i="6"/>
  <c r="G112" i="6"/>
  <c r="G126" i="6"/>
  <c r="G125" i="6"/>
  <c r="G120" i="6"/>
  <c r="G131" i="6"/>
  <c r="G88" i="6"/>
  <c r="G85" i="6"/>
  <c r="G27" i="6"/>
  <c r="G113" i="6"/>
  <c r="G39" i="6"/>
  <c r="G109" i="6"/>
  <c r="G54" i="6"/>
  <c r="G71" i="6"/>
  <c r="G5" i="6"/>
  <c r="G83" i="6"/>
  <c r="G87" i="6"/>
  <c r="G24" i="6"/>
  <c r="G103" i="6"/>
  <c r="G105" i="6"/>
  <c r="G104" i="6"/>
  <c r="G115" i="6"/>
  <c r="G101" i="6"/>
  <c r="G94" i="6"/>
  <c r="G19" i="6"/>
  <c r="G102" i="6"/>
  <c r="G97" i="6"/>
  <c r="G96" i="6"/>
  <c r="G31" i="6"/>
  <c r="G26" i="6"/>
  <c r="G34" i="6"/>
  <c r="G23" i="6"/>
  <c r="F36" i="6"/>
  <c r="F93" i="6"/>
  <c r="F108" i="6"/>
  <c r="F107" i="6"/>
  <c r="F82" i="6"/>
  <c r="F76" i="6"/>
  <c r="F74" i="6"/>
  <c r="F71" i="6"/>
  <c r="F48" i="6"/>
  <c r="F101" i="6"/>
  <c r="F12" i="6"/>
  <c r="F18" i="6"/>
  <c r="F14" i="6"/>
  <c r="F113" i="6"/>
  <c r="F129" i="6"/>
  <c r="F44" i="6"/>
  <c r="F43" i="6"/>
  <c r="F41" i="6"/>
  <c r="F37" i="6"/>
  <c r="F92" i="6"/>
  <c r="F106" i="6"/>
  <c r="F54" i="6"/>
  <c r="F80" i="6"/>
  <c r="F79" i="6"/>
  <c r="F78" i="6"/>
  <c r="F73" i="6"/>
  <c r="F72" i="6"/>
  <c r="F69" i="6"/>
  <c r="F68" i="6"/>
  <c r="F67" i="6"/>
  <c r="F66" i="6"/>
  <c r="F65" i="6"/>
  <c r="F62" i="6"/>
  <c r="F58" i="6"/>
  <c r="F57" i="6"/>
  <c r="F133" i="6"/>
  <c r="F94" i="6"/>
  <c r="F11" i="6"/>
  <c r="F10" i="6"/>
  <c r="F8" i="6"/>
  <c r="F7" i="6"/>
  <c r="F16" i="6"/>
  <c r="F15" i="6"/>
  <c r="F84" i="6"/>
  <c r="F120" i="6"/>
  <c r="F119" i="6"/>
  <c r="F118" i="6"/>
  <c r="F27" i="6"/>
  <c r="F141" i="6"/>
  <c r="F127" i="6"/>
  <c r="F109" i="6"/>
  <c r="F17" i="6"/>
  <c r="F42" i="6"/>
  <c r="F39" i="6"/>
  <c r="F46" i="6"/>
  <c r="F45" i="6"/>
  <c r="F56" i="6"/>
  <c r="F55" i="6"/>
  <c r="F53" i="6"/>
  <c r="F51" i="6"/>
  <c r="F81" i="6"/>
  <c r="F49" i="6"/>
  <c r="F64" i="6"/>
  <c r="F63" i="6"/>
  <c r="F60" i="6"/>
  <c r="F59" i="6"/>
  <c r="F9" i="6"/>
  <c r="F5" i="6"/>
  <c r="F4" i="6"/>
  <c r="F89" i="6"/>
  <c r="F87" i="6"/>
  <c r="F86" i="6"/>
  <c r="F31" i="6"/>
  <c r="F29" i="6"/>
  <c r="F28" i="6"/>
  <c r="F25" i="6"/>
  <c r="F33" i="6"/>
  <c r="F32" i="6"/>
  <c r="F23" i="6"/>
  <c r="E38" i="6"/>
  <c r="E36" i="6"/>
  <c r="E92" i="6"/>
  <c r="E78" i="6"/>
  <c r="E76" i="6"/>
  <c r="E75" i="6"/>
  <c r="E73" i="6"/>
  <c r="E71" i="6"/>
  <c r="E70" i="6"/>
  <c r="E69" i="6"/>
  <c r="E67" i="6"/>
  <c r="E65" i="6"/>
  <c r="E62" i="6"/>
  <c r="E48" i="6"/>
  <c r="E12" i="6"/>
  <c r="E91" i="6"/>
  <c r="E87" i="6"/>
  <c r="E26" i="6"/>
  <c r="E37" i="6"/>
  <c r="E54" i="6"/>
  <c r="E50" i="6"/>
  <c r="E61" i="6"/>
  <c r="E60" i="6"/>
  <c r="E9" i="6"/>
  <c r="E6" i="6"/>
  <c r="E85" i="6"/>
  <c r="E24" i="6"/>
  <c r="E23" i="6"/>
  <c r="E5" i="6"/>
  <c r="H52" i="6"/>
  <c r="L124" i="6" l="1"/>
  <c r="L123" i="6"/>
  <c r="L122" i="6"/>
  <c r="J121" i="6"/>
  <c r="P31" i="6"/>
  <c r="O31" i="6"/>
  <c r="O58" i="6"/>
  <c r="P58" i="6"/>
  <c r="Q97" i="6"/>
  <c r="R97" i="6"/>
  <c r="Q39" i="6"/>
  <c r="R39" i="6"/>
  <c r="Q126" i="6"/>
  <c r="R126" i="6"/>
  <c r="Q106" i="6"/>
  <c r="R106" i="6"/>
  <c r="N6" i="6"/>
  <c r="M6" i="6"/>
  <c r="M87" i="6"/>
  <c r="N87" i="6"/>
  <c r="N70" i="6"/>
  <c r="M70" i="6"/>
  <c r="N38" i="6"/>
  <c r="M38" i="6"/>
  <c r="O86" i="6"/>
  <c r="P86" i="6"/>
  <c r="H63" i="6"/>
  <c r="L63" i="6" s="1"/>
  <c r="P63" i="6"/>
  <c r="O63" i="6"/>
  <c r="O45" i="6"/>
  <c r="P45" i="6"/>
  <c r="P27" i="6"/>
  <c r="O27" i="6"/>
  <c r="P7" i="6"/>
  <c r="O7" i="6"/>
  <c r="O61" i="6"/>
  <c r="P61" i="6"/>
  <c r="O73" i="6"/>
  <c r="P73" i="6"/>
  <c r="O41" i="6"/>
  <c r="P41" i="6"/>
  <c r="O101" i="6"/>
  <c r="P101" i="6"/>
  <c r="O93" i="6"/>
  <c r="P93" i="6"/>
  <c r="Q102" i="6"/>
  <c r="R102" i="6"/>
  <c r="R24" i="6"/>
  <c r="Q24" i="6"/>
  <c r="Q113" i="6"/>
  <c r="R113" i="6"/>
  <c r="R112" i="6"/>
  <c r="Q112" i="6"/>
  <c r="Q10" i="6"/>
  <c r="R10" i="6"/>
  <c r="R67" i="6"/>
  <c r="Q67" i="6"/>
  <c r="Q57" i="6"/>
  <c r="R57" i="6"/>
  <c r="R92" i="6"/>
  <c r="Q92" i="6"/>
  <c r="M69" i="6"/>
  <c r="N69" i="6"/>
  <c r="O37" i="6"/>
  <c r="P37" i="6"/>
  <c r="M9" i="6"/>
  <c r="N9" i="6"/>
  <c r="M71" i="6"/>
  <c r="N71" i="6"/>
  <c r="H64" i="6"/>
  <c r="L64" i="6" s="1"/>
  <c r="O64" i="6"/>
  <c r="P64" i="6"/>
  <c r="O8" i="6"/>
  <c r="P8" i="6"/>
  <c r="O62" i="6"/>
  <c r="P62" i="6"/>
  <c r="O48" i="6"/>
  <c r="P48" i="6"/>
  <c r="O36" i="6"/>
  <c r="P36" i="6"/>
  <c r="Q19" i="6"/>
  <c r="R19" i="6"/>
  <c r="R87" i="6"/>
  <c r="Q87" i="6"/>
  <c r="Q27" i="6"/>
  <c r="R27" i="6"/>
  <c r="R84" i="6"/>
  <c r="Q84" i="6"/>
  <c r="Q11" i="6"/>
  <c r="R11" i="6"/>
  <c r="R68" i="6"/>
  <c r="Q68" i="6"/>
  <c r="R36" i="6"/>
  <c r="Q36" i="6"/>
  <c r="Q43" i="6"/>
  <c r="R43" i="6"/>
  <c r="O16" i="6"/>
  <c r="P16" i="6"/>
  <c r="P23" i="6"/>
  <c r="O23" i="6"/>
  <c r="O46" i="6"/>
  <c r="P46" i="6"/>
  <c r="P78" i="6"/>
  <c r="O78" i="6"/>
  <c r="M12" i="6"/>
  <c r="N12" i="6"/>
  <c r="O89" i="6"/>
  <c r="P89" i="6"/>
  <c r="P39" i="6"/>
  <c r="O39" i="6"/>
  <c r="O10" i="6"/>
  <c r="P10" i="6"/>
  <c r="O65" i="6"/>
  <c r="P65" i="6"/>
  <c r="O44" i="6"/>
  <c r="P44" i="6"/>
  <c r="P71" i="6"/>
  <c r="O71" i="6"/>
  <c r="Q23" i="6"/>
  <c r="R23" i="6"/>
  <c r="Q94" i="6"/>
  <c r="R94" i="6"/>
  <c r="R83" i="6"/>
  <c r="Q83" i="6"/>
  <c r="Q85" i="6"/>
  <c r="R85" i="6"/>
  <c r="R132" i="6"/>
  <c r="Q132" i="6"/>
  <c r="Q48" i="6"/>
  <c r="R48" i="6"/>
  <c r="Q69" i="6"/>
  <c r="R69" i="6"/>
  <c r="Q37" i="6"/>
  <c r="R37" i="6"/>
  <c r="R44" i="6"/>
  <c r="Q44" i="6"/>
  <c r="O60" i="6"/>
  <c r="P60" i="6"/>
  <c r="O108" i="6"/>
  <c r="P108" i="6"/>
  <c r="M91" i="6"/>
  <c r="N91" i="6"/>
  <c r="P87" i="6"/>
  <c r="O87" i="6"/>
  <c r="O85" i="6"/>
  <c r="P85" i="6"/>
  <c r="P43" i="6"/>
  <c r="O43" i="6"/>
  <c r="M60" i="6"/>
  <c r="N60" i="6"/>
  <c r="M73" i="6"/>
  <c r="N73" i="6"/>
  <c r="O32" i="6"/>
  <c r="P32" i="6"/>
  <c r="O49" i="6"/>
  <c r="P49" i="6"/>
  <c r="P118" i="6"/>
  <c r="O118" i="6"/>
  <c r="P79" i="6"/>
  <c r="O79" i="6"/>
  <c r="M61" i="6"/>
  <c r="N61" i="6"/>
  <c r="M48" i="6"/>
  <c r="N48" i="6"/>
  <c r="M75" i="6"/>
  <c r="N75" i="6"/>
  <c r="O33" i="6"/>
  <c r="P33" i="6"/>
  <c r="O4" i="6"/>
  <c r="P4" i="6"/>
  <c r="O81" i="6"/>
  <c r="P81" i="6"/>
  <c r="O42" i="6"/>
  <c r="P42" i="6"/>
  <c r="P119" i="6"/>
  <c r="O119" i="6"/>
  <c r="H11" i="6"/>
  <c r="L11" i="6" s="1"/>
  <c r="P11" i="6"/>
  <c r="O11" i="6"/>
  <c r="P66" i="6"/>
  <c r="O66" i="6"/>
  <c r="O80" i="6"/>
  <c r="P80" i="6"/>
  <c r="O129" i="6"/>
  <c r="P129" i="6"/>
  <c r="H74" i="6"/>
  <c r="J74" i="6" s="1"/>
  <c r="O74" i="6"/>
  <c r="P74" i="6"/>
  <c r="Q34" i="6"/>
  <c r="R34" i="6"/>
  <c r="Q101" i="6"/>
  <c r="R101" i="6"/>
  <c r="Q5" i="6"/>
  <c r="R5" i="6"/>
  <c r="R88" i="6"/>
  <c r="Q88" i="6"/>
  <c r="R20" i="6"/>
  <c r="Q20" i="6"/>
  <c r="Q58" i="6"/>
  <c r="R58" i="6"/>
  <c r="R72" i="6"/>
  <c r="Q72" i="6"/>
  <c r="Q38" i="6"/>
  <c r="R38" i="6"/>
  <c r="N85" i="6"/>
  <c r="M85" i="6"/>
  <c r="H56" i="6"/>
  <c r="L56" i="6" s="1"/>
  <c r="O56" i="6"/>
  <c r="P56" i="6"/>
  <c r="O12" i="6"/>
  <c r="P12" i="6"/>
  <c r="R8" i="6"/>
  <c r="Q8" i="6"/>
  <c r="M5" i="6"/>
  <c r="N5" i="6"/>
  <c r="N50" i="6"/>
  <c r="M50" i="6"/>
  <c r="N62" i="6"/>
  <c r="M62" i="6"/>
  <c r="M76" i="6"/>
  <c r="N76" i="6"/>
  <c r="O25" i="6"/>
  <c r="P25" i="6"/>
  <c r="O5" i="6"/>
  <c r="P5" i="6"/>
  <c r="P51" i="6"/>
  <c r="O51" i="6"/>
  <c r="O17" i="6"/>
  <c r="P17" i="6"/>
  <c r="O120" i="6"/>
  <c r="P120" i="6"/>
  <c r="P94" i="6"/>
  <c r="O94" i="6"/>
  <c r="O67" i="6"/>
  <c r="P67" i="6"/>
  <c r="O54" i="6"/>
  <c r="P54" i="6"/>
  <c r="O113" i="6"/>
  <c r="P113" i="6"/>
  <c r="O76" i="6"/>
  <c r="P76" i="6"/>
  <c r="Q26" i="6"/>
  <c r="R26" i="6"/>
  <c r="R115" i="6"/>
  <c r="Q115" i="6"/>
  <c r="Q71" i="6"/>
  <c r="R71" i="6"/>
  <c r="R131" i="6"/>
  <c r="Q131" i="6"/>
  <c r="Q21" i="6"/>
  <c r="R21" i="6"/>
  <c r="Q61" i="6"/>
  <c r="R61" i="6"/>
  <c r="Q73" i="6"/>
  <c r="R73" i="6"/>
  <c r="Q41" i="6"/>
  <c r="R41" i="6"/>
  <c r="M36" i="6"/>
  <c r="N36" i="6"/>
  <c r="O72" i="6"/>
  <c r="P72" i="6"/>
  <c r="Q66" i="6"/>
  <c r="R66" i="6"/>
  <c r="N54" i="6"/>
  <c r="M54" i="6"/>
  <c r="N78" i="6"/>
  <c r="M78" i="6"/>
  <c r="O9" i="6"/>
  <c r="P9" i="6"/>
  <c r="H53" i="6"/>
  <c r="L53" i="6" s="1"/>
  <c r="O53" i="6"/>
  <c r="P53" i="6"/>
  <c r="O84" i="6"/>
  <c r="P84" i="6"/>
  <c r="O133" i="6"/>
  <c r="P133" i="6"/>
  <c r="O68" i="6"/>
  <c r="P68" i="6"/>
  <c r="P106" i="6"/>
  <c r="O106" i="6"/>
  <c r="O14" i="6"/>
  <c r="P14" i="6"/>
  <c r="O82" i="6"/>
  <c r="P82" i="6"/>
  <c r="Q31" i="6"/>
  <c r="R31" i="6"/>
  <c r="R104" i="6"/>
  <c r="Q104" i="6"/>
  <c r="Q54" i="6"/>
  <c r="R54" i="6"/>
  <c r="R120" i="6"/>
  <c r="Q120" i="6"/>
  <c r="Q22" i="6"/>
  <c r="R22" i="6"/>
  <c r="Q62" i="6"/>
  <c r="R62" i="6"/>
  <c r="Q50" i="6"/>
  <c r="R50" i="6"/>
  <c r="Q15" i="6"/>
  <c r="R15" i="6"/>
  <c r="M26" i="6"/>
  <c r="N26" i="6"/>
  <c r="O141" i="6"/>
  <c r="P141" i="6"/>
  <c r="Q103" i="6"/>
  <c r="R103" i="6"/>
  <c r="R80" i="6"/>
  <c r="Q80" i="6"/>
  <c r="M23" i="6"/>
  <c r="N23" i="6"/>
  <c r="N65" i="6"/>
  <c r="M65" i="6"/>
  <c r="H28" i="6"/>
  <c r="L28" i="6" s="1"/>
  <c r="O28" i="6"/>
  <c r="P28" i="6"/>
  <c r="O109" i="6"/>
  <c r="P109" i="6"/>
  <c r="M24" i="6"/>
  <c r="N24" i="6"/>
  <c r="M37" i="6"/>
  <c r="N37" i="6"/>
  <c r="M67" i="6"/>
  <c r="N67" i="6"/>
  <c r="M92" i="6"/>
  <c r="N92" i="6"/>
  <c r="H29" i="6"/>
  <c r="L29" i="6" s="1"/>
  <c r="O29" i="6"/>
  <c r="P29" i="6"/>
  <c r="H59" i="6"/>
  <c r="L59" i="6" s="1"/>
  <c r="O59" i="6"/>
  <c r="P59" i="6"/>
  <c r="P55" i="6"/>
  <c r="O55" i="6"/>
  <c r="P127" i="6"/>
  <c r="O127" i="6"/>
  <c r="P15" i="6"/>
  <c r="O15" i="6"/>
  <c r="O57" i="6"/>
  <c r="P57" i="6"/>
  <c r="O69" i="6"/>
  <c r="P69" i="6"/>
  <c r="O92" i="6"/>
  <c r="P92" i="6"/>
  <c r="O18" i="6"/>
  <c r="P18" i="6"/>
  <c r="P107" i="6"/>
  <c r="O107" i="6"/>
  <c r="R96" i="6"/>
  <c r="Q96" i="6"/>
  <c r="Q105" i="6"/>
  <c r="R105" i="6"/>
  <c r="Q109" i="6"/>
  <c r="R109" i="6"/>
  <c r="Q125" i="6"/>
  <c r="R125" i="6"/>
  <c r="Q7" i="6"/>
  <c r="R7" i="6"/>
  <c r="Q65" i="6"/>
  <c r="R65" i="6"/>
  <c r="Q78" i="6"/>
  <c r="R78" i="6"/>
  <c r="R16" i="6"/>
  <c r="Q16" i="6"/>
  <c r="L47" i="6"/>
  <c r="J47" i="6"/>
  <c r="J13" i="6"/>
  <c r="H68" i="6"/>
  <c r="H10" i="6"/>
  <c r="H62" i="6"/>
  <c r="L62" i="6" s="1"/>
  <c r="L52" i="6"/>
  <c r="H27" i="6"/>
  <c r="J52" i="6"/>
  <c r="H80" i="6"/>
  <c r="H70" i="6"/>
  <c r="L74" i="6" l="1"/>
  <c r="J53" i="6"/>
  <c r="J64" i="6"/>
  <c r="J63" i="6"/>
  <c r="J59" i="6"/>
  <c r="J56" i="6"/>
  <c r="J80" i="6"/>
  <c r="J10" i="6"/>
  <c r="J68" i="6"/>
  <c r="L68" i="6"/>
  <c r="L10" i="6"/>
  <c r="J11" i="6"/>
  <c r="J62" i="6"/>
  <c r="L27" i="6"/>
  <c r="J27" i="6"/>
  <c r="J29" i="6"/>
  <c r="J28" i="6"/>
  <c r="H7" i="6"/>
  <c r="L7" i="6" s="1"/>
  <c r="H8" i="6"/>
  <c r="H6" i="6"/>
  <c r="L70" i="6"/>
  <c r="J70" i="6"/>
  <c r="H46" i="6"/>
  <c r="L80" i="6" l="1"/>
  <c r="L6" i="6"/>
  <c r="J7" i="6"/>
  <c r="L8" i="6"/>
  <c r="J8" i="6"/>
  <c r="J6" i="6"/>
  <c r="L46" i="6"/>
  <c r="J46" i="6"/>
  <c r="H49" i="6"/>
  <c r="L49" i="6" l="1"/>
  <c r="J49" i="6"/>
  <c r="H45" i="6"/>
  <c r="L45" i="6" l="1"/>
  <c r="J45" i="6" l="1"/>
  <c r="H22" i="6" l="1"/>
  <c r="L22" i="6" l="1"/>
  <c r="J22" i="6"/>
  <c r="H82" i="6" l="1"/>
  <c r="L82" i="6" l="1"/>
  <c r="J82" i="6"/>
  <c r="H91" i="6" l="1"/>
  <c r="L91" i="6" l="1"/>
  <c r="J91" i="6"/>
  <c r="G140" i="6"/>
  <c r="G139" i="6"/>
  <c r="F140" i="6"/>
  <c r="F139" i="6"/>
  <c r="E140" i="6"/>
  <c r="E139" i="6"/>
  <c r="M139" i="6" l="1"/>
  <c r="N139" i="6"/>
  <c r="M140" i="6"/>
  <c r="N140" i="6"/>
  <c r="P139" i="6"/>
  <c r="O139" i="6"/>
  <c r="O140" i="6"/>
  <c r="P140" i="6"/>
  <c r="Q139" i="6"/>
  <c r="R139" i="6"/>
  <c r="Q140" i="6"/>
  <c r="R140" i="6"/>
  <c r="H131" i="6"/>
  <c r="H132" i="6"/>
  <c r="H133" i="6"/>
  <c r="H139" i="6"/>
  <c r="H140" i="6"/>
  <c r="H126" i="6"/>
  <c r="H112" i="6"/>
  <c r="H114" i="6"/>
  <c r="H115" i="6"/>
  <c r="H116" i="6"/>
  <c r="H117" i="6"/>
  <c r="H125" i="6"/>
  <c r="H21" i="6"/>
  <c r="H30" i="6"/>
  <c r="H33" i="6"/>
  <c r="H34" i="6"/>
  <c r="H35" i="6"/>
  <c r="H40" i="6"/>
  <c r="H66" i="6"/>
  <c r="H86" i="6"/>
  <c r="H88" i="6"/>
  <c r="H90" i="6"/>
  <c r="H92" i="6"/>
  <c r="H95" i="6"/>
  <c r="H96" i="6"/>
  <c r="H97" i="6"/>
  <c r="H98" i="6"/>
  <c r="H99" i="6"/>
  <c r="H100" i="6"/>
  <c r="H102" i="6"/>
  <c r="H103" i="6"/>
  <c r="H104" i="6"/>
  <c r="H105" i="6"/>
  <c r="H109" i="6"/>
  <c r="H110" i="6"/>
  <c r="H111" i="6"/>
  <c r="H19" i="6"/>
  <c r="H20" i="6"/>
  <c r="H4" i="6"/>
  <c r="D149" i="6" l="1"/>
  <c r="D154" i="6"/>
  <c r="D155" i="6"/>
  <c r="D144" i="6"/>
  <c r="D150" i="6"/>
  <c r="D145" i="6"/>
  <c r="H93" i="6"/>
  <c r="H108" i="6"/>
  <c r="L108" i="6" s="1"/>
  <c r="H107" i="6"/>
  <c r="H101" i="6"/>
  <c r="H14" i="6"/>
  <c r="H18" i="6"/>
  <c r="H129" i="6"/>
  <c r="H44" i="6"/>
  <c r="H43" i="6"/>
  <c r="H41" i="6"/>
  <c r="H106" i="6"/>
  <c r="H58" i="6"/>
  <c r="H57" i="6"/>
  <c r="H79" i="6"/>
  <c r="H78" i="6"/>
  <c r="H73" i="6"/>
  <c r="H72" i="6"/>
  <c r="H94" i="6"/>
  <c r="H16" i="6"/>
  <c r="H15" i="6"/>
  <c r="H84" i="6"/>
  <c r="H120" i="6"/>
  <c r="H119" i="6"/>
  <c r="H118" i="6"/>
  <c r="H85" i="6"/>
  <c r="H113" i="6"/>
  <c r="H127" i="6"/>
  <c r="H17" i="6"/>
  <c r="H42" i="6"/>
  <c r="H39" i="6"/>
  <c r="H60" i="6"/>
  <c r="H55" i="6"/>
  <c r="H81" i="6"/>
  <c r="H51" i="6"/>
  <c r="H25" i="6"/>
  <c r="H24" i="6"/>
  <c r="H9" i="6"/>
  <c r="H89" i="6"/>
  <c r="H32" i="6"/>
  <c r="H31" i="6"/>
  <c r="D152" i="6" l="1"/>
  <c r="D147" i="6"/>
  <c r="D157" i="6"/>
  <c r="H141" i="6"/>
  <c r="J25" i="6"/>
  <c r="J108" i="6"/>
  <c r="L25" i="6" l="1"/>
  <c r="H38" i="6"/>
  <c r="H37" i="6"/>
  <c r="H36" i="6"/>
  <c r="H65" i="6"/>
  <c r="H61" i="6"/>
  <c r="H54" i="6"/>
  <c r="H50" i="6"/>
  <c r="H76" i="6"/>
  <c r="H75" i="6"/>
  <c r="H71" i="6"/>
  <c r="H69" i="6"/>
  <c r="H67" i="6"/>
  <c r="H48" i="6"/>
  <c r="H12" i="6"/>
  <c r="H83" i="6"/>
  <c r="H87" i="6"/>
  <c r="H26" i="6"/>
  <c r="H23" i="6"/>
  <c r="H5" i="6" l="1"/>
  <c r="J93" i="6" l="1"/>
  <c r="L93" i="6" l="1"/>
  <c r="J131" i="6" l="1"/>
  <c r="J127" i="6"/>
  <c r="J110" i="6"/>
  <c r="J111" i="6"/>
  <c r="J112" i="6"/>
  <c r="J113" i="6"/>
  <c r="J114" i="6"/>
  <c r="J115" i="6"/>
  <c r="J116" i="6"/>
  <c r="J117" i="6"/>
  <c r="J118" i="6"/>
  <c r="J119" i="6"/>
  <c r="J120" i="6"/>
  <c r="J125" i="6"/>
  <c r="J126" i="6"/>
  <c r="L110" i="6"/>
  <c r="L111" i="6"/>
  <c r="L112" i="6"/>
  <c r="L113" i="6"/>
  <c r="L114" i="6"/>
  <c r="L115" i="6"/>
  <c r="L116" i="6"/>
  <c r="L117" i="6"/>
  <c r="L118" i="6"/>
  <c r="L119" i="6"/>
  <c r="L120" i="6"/>
  <c r="L125" i="6"/>
  <c r="L126" i="6"/>
  <c r="L127" i="6"/>
  <c r="L129" i="6"/>
  <c r="L131" i="6"/>
  <c r="L132" i="6"/>
  <c r="L133" i="6"/>
  <c r="J129" i="6" l="1"/>
  <c r="J133" i="6"/>
  <c r="J132" i="6"/>
  <c r="J90" i="6" l="1"/>
  <c r="L90" i="6" s="1"/>
  <c r="J107" i="6" l="1"/>
  <c r="J103" i="6" l="1"/>
  <c r="J105" i="6"/>
  <c r="J104" i="6"/>
  <c r="L107" i="6"/>
  <c r="L103" i="6" l="1"/>
  <c r="L104" i="6"/>
  <c r="L105" i="6"/>
  <c r="J86" i="6"/>
  <c r="J21" i="6" l="1"/>
  <c r="L86" i="6"/>
  <c r="J81" i="6" l="1"/>
  <c r="L21" i="6"/>
  <c r="J20" i="6" l="1"/>
  <c r="J19" i="6"/>
  <c r="L81" i="6"/>
  <c r="L20" i="6" l="1"/>
  <c r="L19" i="6"/>
  <c r="J18" i="6"/>
  <c r="J102" i="6" l="1"/>
  <c r="J51" i="6"/>
  <c r="J55" i="6"/>
  <c r="J34" i="6"/>
  <c r="L18" i="6"/>
  <c r="L34" i="6" l="1"/>
  <c r="L102" i="6"/>
  <c r="L55" i="6"/>
  <c r="L51" i="6"/>
  <c r="J100" i="6" l="1"/>
  <c r="J79" i="6"/>
  <c r="J15" i="6"/>
  <c r="J32" i="6"/>
  <c r="J9" i="6"/>
  <c r="J139" i="6"/>
  <c r="L139" i="6" s="1"/>
  <c r="J140" i="6"/>
  <c r="L140" i="6" s="1"/>
  <c r="J141" i="6"/>
  <c r="L141" i="6" s="1"/>
  <c r="L100" i="6" l="1"/>
  <c r="J94" i="6"/>
  <c r="J97" i="6"/>
  <c r="J96" i="6"/>
  <c r="J99" i="6"/>
  <c r="J106" i="6"/>
  <c r="J98" i="6"/>
  <c r="L79" i="6"/>
  <c r="J95" i="6"/>
  <c r="J101" i="6"/>
  <c r="J36" i="6"/>
  <c r="J73" i="6"/>
  <c r="J43" i="6"/>
  <c r="J92" i="6"/>
  <c r="J41" i="6"/>
  <c r="J17" i="6"/>
  <c r="J61" i="6"/>
  <c r="J14" i="6"/>
  <c r="J12" i="6"/>
  <c r="L12" i="6"/>
  <c r="J44" i="6"/>
  <c r="J42" i="6"/>
  <c r="J40" i="6"/>
  <c r="L9" i="6"/>
  <c r="J65" i="6"/>
  <c r="J72" i="6"/>
  <c r="J78" i="6"/>
  <c r="J5" i="6"/>
  <c r="J57" i="6"/>
  <c r="J75" i="6"/>
  <c r="J60" i="6"/>
  <c r="J30" i="6"/>
  <c r="J48" i="6"/>
  <c r="L32" i="6"/>
  <c r="J4" i="6"/>
  <c r="L4" i="6"/>
  <c r="J24" i="6"/>
  <c r="J35" i="6"/>
  <c r="J84" i="6"/>
  <c r="J87" i="6"/>
  <c r="L87" i="6" s="1"/>
  <c r="J58" i="6"/>
  <c r="J89" i="6"/>
  <c r="J50" i="6"/>
  <c r="J67" i="6"/>
  <c r="J54" i="6"/>
  <c r="J33" i="6"/>
  <c r="J85" i="6"/>
  <c r="J76" i="6"/>
  <c r="J31" i="6"/>
  <c r="J69" i="6"/>
  <c r="L15" i="6"/>
  <c r="J66" i="6"/>
  <c r="J39" i="6"/>
  <c r="J88" i="6"/>
  <c r="J71" i="6"/>
  <c r="J16" i="6"/>
  <c r="J26" i="6"/>
  <c r="J38" i="6"/>
  <c r="J83" i="6"/>
  <c r="J37" i="6"/>
  <c r="J23" i="6"/>
  <c r="L23" i="6" s="1"/>
  <c r="L69" i="6" l="1"/>
  <c r="L67" i="6"/>
  <c r="L35" i="6"/>
  <c r="L101" i="6"/>
  <c r="L42" i="6"/>
  <c r="L14" i="6"/>
  <c r="L92" i="6"/>
  <c r="L99" i="6"/>
  <c r="L95" i="6"/>
  <c r="L96" i="6"/>
  <c r="L98" i="6"/>
  <c r="L97" i="6"/>
  <c r="L38" i="6"/>
  <c r="L88" i="6"/>
  <c r="L60" i="6"/>
  <c r="L78" i="6"/>
  <c r="L106" i="6"/>
  <c r="L94" i="6"/>
  <c r="L50" i="6"/>
  <c r="L84" i="6"/>
  <c r="L44" i="6"/>
  <c r="L61" i="6"/>
  <c r="L43" i="6"/>
  <c r="L39" i="6"/>
  <c r="L75" i="6"/>
  <c r="L72" i="6"/>
  <c r="L31" i="6"/>
  <c r="L17" i="6"/>
  <c r="L73" i="6"/>
  <c r="L85" i="6"/>
  <c r="L33" i="6"/>
  <c r="L37" i="6"/>
  <c r="L26" i="6"/>
  <c r="L76" i="6"/>
  <c r="L89" i="6"/>
  <c r="L16" i="6"/>
  <c r="L48" i="6"/>
  <c r="L58" i="6"/>
  <c r="L40" i="6"/>
  <c r="L41" i="6"/>
  <c r="L36" i="6"/>
  <c r="L66" i="6"/>
  <c r="L57" i="6"/>
  <c r="L54" i="6"/>
  <c r="L24" i="6"/>
  <c r="L83" i="6"/>
  <c r="L71" i="6"/>
  <c r="L30" i="6"/>
  <c r="L5" i="6"/>
  <c r="L65" i="6"/>
  <c r="J109" i="6"/>
  <c r="L159" i="6" s="1"/>
  <c r="L109" i="6" l="1"/>
  <c r="L160" i="6" s="1"/>
  <c r="L162" i="6" s="1"/>
</calcChain>
</file>

<file path=xl/sharedStrings.xml><?xml version="1.0" encoding="utf-8"?>
<sst xmlns="http://schemas.openxmlformats.org/spreadsheetml/2006/main" count="455" uniqueCount="403">
  <si>
    <t>470 × 490 × 760
výška sedáku 450 mm</t>
  </si>
  <si>
    <t>700 × 700 × 1010-1150
výška sedáku 440-580 mm</t>
  </si>
  <si>
    <t>Položka</t>
  </si>
  <si>
    <t>700 × 700 × 1230-1370
výška sedáku 440-580 mm</t>
  </si>
  <si>
    <t>590 × 470 × 840
výška sedáku 470 mm</t>
  </si>
  <si>
    <t>900 × 100 × 900</t>
  </si>
  <si>
    <t>560 × 490 × 760
výška sedáku 450 mm</t>
  </si>
  <si>
    <t>Tvarové a designové řešení</t>
  </si>
  <si>
    <t>Závazná typologie materiálového složení a provedení – požadované parametry:</t>
  </si>
  <si>
    <t>Hlavní orientační tabule  -  přesně formátovaný plech z hliníkových slitin s povrchovou úpravou broušená nerez. Na tabuli bude řezaná fóliová grafika, instalace lepením na stěnu.</t>
  </si>
  <si>
    <t>PS1</t>
  </si>
  <si>
    <t>PS2</t>
  </si>
  <si>
    <t>2400 × 800 + 1500 × 600 × 750</t>
  </si>
  <si>
    <t>PS3</t>
  </si>
  <si>
    <t>1600 × 800 × 750</t>
  </si>
  <si>
    <t>PS4</t>
  </si>
  <si>
    <t>PS5</t>
  </si>
  <si>
    <t>1400 × 800 × 750</t>
  </si>
  <si>
    <t>PS6</t>
  </si>
  <si>
    <t>1800 × 800 × 750</t>
  </si>
  <si>
    <t>PS7</t>
  </si>
  <si>
    <t>1200 × 600 × 750</t>
  </si>
  <si>
    <t>PS8</t>
  </si>
  <si>
    <t>PS9</t>
  </si>
  <si>
    <t>PS10</t>
  </si>
  <si>
    <t>2000 × 800 + 1200 × 600 × 750</t>
  </si>
  <si>
    <t>2400 × 800 + 1200 × 600 × 750</t>
  </si>
  <si>
    <t>PS11</t>
  </si>
  <si>
    <t>PS12</t>
  </si>
  <si>
    <t>PS13</t>
  </si>
  <si>
    <t>JS5</t>
  </si>
  <si>
    <t>JS1</t>
  </si>
  <si>
    <t>1500 × 800 × 750</t>
  </si>
  <si>
    <t>JS2</t>
  </si>
  <si>
    <t>Ø600 × 750</t>
  </si>
  <si>
    <t>JS3</t>
  </si>
  <si>
    <t>2200 × 1000 × 750</t>
  </si>
  <si>
    <t>JS4</t>
  </si>
  <si>
    <t>1200 × 800 × 550</t>
  </si>
  <si>
    <t>Ø 800 × 750</t>
  </si>
  <si>
    <t>JS6</t>
  </si>
  <si>
    <t>JS7</t>
  </si>
  <si>
    <t>2800 × 1000 × 750</t>
  </si>
  <si>
    <t>JS8</t>
  </si>
  <si>
    <t>Z1</t>
  </si>
  <si>
    <t>Z2</t>
  </si>
  <si>
    <t>Z6</t>
  </si>
  <si>
    <t>S1</t>
  </si>
  <si>
    <t>Z3</t>
  </si>
  <si>
    <t>Z4</t>
  </si>
  <si>
    <t>Z5</t>
  </si>
  <si>
    <t>Z7</t>
  </si>
  <si>
    <t>Z8</t>
  </si>
  <si>
    <t>Z9</t>
  </si>
  <si>
    <t>S8</t>
  </si>
  <si>
    <t>S9</t>
  </si>
  <si>
    <t>S10</t>
  </si>
  <si>
    <t>S11</t>
  </si>
  <si>
    <t>S13</t>
  </si>
  <si>
    <t>S12</t>
  </si>
  <si>
    <t>S15</t>
  </si>
  <si>
    <t>K3</t>
  </si>
  <si>
    <t>K5</t>
  </si>
  <si>
    <t>K4</t>
  </si>
  <si>
    <t>S2</t>
  </si>
  <si>
    <t>S3</t>
  </si>
  <si>
    <t>S4</t>
  </si>
  <si>
    <t>S5</t>
  </si>
  <si>
    <t>S6</t>
  </si>
  <si>
    <t>S7</t>
  </si>
  <si>
    <t>S14</t>
  </si>
  <si>
    <t>K1</t>
  </si>
  <si>
    <t>K2</t>
  </si>
  <si>
    <t>2.ETAPA - MÍSTNOST 124</t>
  </si>
  <si>
    <t>V1</t>
  </si>
  <si>
    <t>S18</t>
  </si>
  <si>
    <t>S19</t>
  </si>
  <si>
    <t>S17</t>
  </si>
  <si>
    <t>2000 × 1800</t>
  </si>
  <si>
    <t>1200 × 600 × 1850</t>
  </si>
  <si>
    <t>R1</t>
  </si>
  <si>
    <t>R2</t>
  </si>
  <si>
    <t>R3</t>
  </si>
  <si>
    <t>R4</t>
  </si>
  <si>
    <t>R5</t>
  </si>
  <si>
    <t>R6</t>
  </si>
  <si>
    <t>R7</t>
  </si>
  <si>
    <t>R8</t>
  </si>
  <si>
    <t>P1</t>
  </si>
  <si>
    <t>P2</t>
  </si>
  <si>
    <t>1600 × 18 × 370</t>
  </si>
  <si>
    <t>1800 × 18 × 450</t>
  </si>
  <si>
    <t>T1</t>
  </si>
  <si>
    <t>1800 × 600 × 2050</t>
  </si>
  <si>
    <t>2400 × 1200</t>
  </si>
  <si>
    <t>Ø 600 × 1100</t>
  </si>
  <si>
    <t>BS1</t>
  </si>
  <si>
    <t>TZ1</t>
  </si>
  <si>
    <t>1400 × 700 × 720</t>
  </si>
  <si>
    <t xml:space="preserve">1500 × 680 × 710
</t>
  </si>
  <si>
    <t xml:space="preserve">Rozměry  (cm)
  š × hl × v </t>
  </si>
  <si>
    <t>Jednotková cena
bez DPH
Kč</t>
  </si>
  <si>
    <t>Celková cena
bez DPH
Kč</t>
  </si>
  <si>
    <t>Jednotková cena montáž
bez DPH
Kč</t>
  </si>
  <si>
    <t>Celková cena montáž
bez DPH
Kč</t>
  </si>
  <si>
    <t>Dveřní tabule kombinovaná - přesně formátovaný plech z hliníkových slitin s povrchovou úpravou broušená nerez, cedule se skládá se ze dvou částí spojených na magnety, spodní část plech hliník s dolní lištou ze stejného materiáli, která slouží i jako zarážka horní odnímatelné části a je na ní umístěno číslo místnosti, horní odnímatelná část vrchní část plech s grafikou, prostřední část plexisklo pod které lze vložit papír. Cedule je po sestavení kompaktní, bez viditelných spár, obě části na sebe přesně lícují. Tloušťka tabulky max. 8 mm. Na tabulce bude logo a řezaná fóliová grafika, instalace lepením</t>
  </si>
  <si>
    <t>PS14</t>
  </si>
  <si>
    <t>PS15</t>
  </si>
  <si>
    <t>PS16</t>
  </si>
  <si>
    <t>800 × 800 × 750</t>
  </si>
  <si>
    <t>2000 × 800 × 750</t>
  </si>
  <si>
    <t>JS9</t>
  </si>
  <si>
    <t>Ø 600 × 750</t>
  </si>
  <si>
    <t>S20</t>
  </si>
  <si>
    <t>R9</t>
  </si>
  <si>
    <t>DS1</t>
  </si>
  <si>
    <t>DS2</t>
  </si>
  <si>
    <t>DS3</t>
  </si>
  <si>
    <t>V2</t>
  </si>
  <si>
    <t>PS17</t>
  </si>
  <si>
    <t xml:space="preserve">Dílenský stůl, pracovní deska z masivní bukové spárovky minimální tloušťky 40 mm. Korpus z ocelového plechu upravený práškovou vypalovací barvou výběr min. ze 3 barev (světle šedá RAL 7035, světle modrá RAL 5012, modrá RAL 5010). Součástí stolu dvě skříně. Levá část - 4x zásuvka (výška 2x 100 mm, 2x 200 mm), centrální zámek. Pravá část - skříňka s dvířky, 1x police, zámek. Čelní plochy upraveny práškovou vypalovací barvou výběr min. ze 3 barev (světle šedá RAL 7035, světle modrá RAL 5012, modrá RAL 5010). Obě skříně odemykatelné stejným klíčem. Mninimální nosnost 800 kg.
 </t>
  </si>
  <si>
    <t xml:space="preserve">Dílenská celokovová skříň s křídlovými dveřmi. Svařovaný korpus. Dveře ocelové plné. Skříň umožňuje výškovou přestavitelnost 4 polic. Skříň je uzamykatelná cylindrickým bezpečnostním zámkem, 2 kliče. Skříň je upravena práškovou vypalovací barvou světle šedá RAL 7035. Minimální nosnost police 60 kg. Minimální nosnost korpusu 300 kg.
</t>
  </si>
  <si>
    <t xml:space="preserve">Dílenská celokovová skříň s křídlovými dveřmi. Svařovaný korpus. Dveře ocelové plné. Skříň umožňuje výškovou přestavitelnost 4 polic. Skříň je uzamykatelná cylindrickým bezpečnostním zámkem, 2 kliče. Skříň je upravena práškovou vypalovací barvou světle šedá RAL 7035. Minimální nosnost police 100 kg. Minimální nosnost korpusu 800 kg.
</t>
  </si>
  <si>
    <t>T2</t>
  </si>
  <si>
    <t>1200 × 1200</t>
  </si>
  <si>
    <t xml:space="preserve">Magnetická tabule s keramickým povrchem. Tabule je opatřena hliníkovým rámem, který je v rozích spojen plastovými spojkami. Uchycení tabule na stěnu přes plastové držáky, do kterých se tabule vloží a zajistí. Součástí je odkládací lišta minimální délky 20 cm, pro odkládání popisovačů. Povrch do míst s vysokým zatížením a každodenním provozem. Píše se na ni za sucha stíratelnými popisovači. Záruka na povrch minimálně 25 let. </t>
  </si>
  <si>
    <t xml:space="preserve">Pracovní stůl, desky stolů jsou navrženy v materiálu LTD minimální tloušťky 25 mm, zakončené ABS hranou tloušťky minimálně 2 mm, podnoží stolu bude robustní celokovové čtyřnohé (nohy umístěny v rozích stolu), rámové, nohy o profilu 40×40 mm spojené kovovými luby s povrchovou úpravou práškovou barvou, spojení kovových nohou s kovovými luby tvoří samonosnou kovovou podnož a je uskutečněno pomocí rozebíratelných konstrukčních spojů, vždy dvě nohy jsou na straně boku stolu spojeny v rozích svarem a tvoří tak rám ve tvaru obráceného U, tyto dva rámy jsou propojeny dvěma podélnými luby téhož profilu, jako nohy, stoly budou umožňovat rektifikaci minimálně o 15 mm, pro vyrovnání případných nerovností podlahy, stůl bude umožňovat vedení kabelů pod stolovou deskou kabelovým kanálem, stoly budou řešit průchod kabeláže z kabelového kanálu průchodkou nad pracovní desku, stolové desky opatřeny kovovými závrtnými maticemi pro bezproblémovou opakovanou montáž a demontáž bez znehodnocení nebo opotřebení desky stolu, barevnosti podnože RAL 9006, barevnost lamina - dřevodekor javor přírodní.
</t>
  </si>
  <si>
    <t>1400 × 600 × 750</t>
  </si>
  <si>
    <t>900 × 600 × 750</t>
  </si>
  <si>
    <t xml:space="preserve">Stůl konferenční kruhový - desky stolů jsou navrženy v materiálu LTD minimální tloušťky 25 mm, zakončené ABS hranou tloušťky minimálně 2 mm. Podnoží stolu bude robustní celokovové tvořené talířem o průměru 400 – 500 mm a trubkou o průměru 80 mm nahoře opatřeno litinovým křížem pro montáž desky o minimální hmotnosti 14 kg, stolové desky opatřeny kovovými závrtnými maticemi pro bezproblémovou opakovanou montáž a demontáž bez znehodnocení nebo opotřebení desky stolu, barevnosti podnože RAL 9006, barevnost lamina - dřevodekor javor přírodní.
</t>
  </si>
  <si>
    <t>800 × 400 × 1850</t>
  </si>
  <si>
    <t>430 × 600 × 580</t>
  </si>
  <si>
    <t xml:space="preserve">Skříň dveřová 5OH policová, úhel otevření dveří min. 110 st, panty s tlumeným dovíráním, dveře lakovaná dýha, hrana nákližek, korpus materiál LTD tloušťky 18 mm, naložená půda a dno o síle minimálně 25 mm je součástí konstrukce skříně, nebo samostatně jako krycí a soklová deska, půda,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třícestným zámkem. Provedení - dveře dýha přírodní jasan, transparentní lak, korpus lamino šedostříbrná metalická RAL 9006.
</t>
  </si>
  <si>
    <t>600 × 400 × 1850</t>
  </si>
  <si>
    <t>600 × 600 × 1850</t>
  </si>
  <si>
    <t>800 × 400 × 750</t>
  </si>
  <si>
    <t>300 × 600 × 1850</t>
  </si>
  <si>
    <t xml:space="preserve">Skříň policová úzká 5OH otevřená, korpus materiál LTD tloušťky 18 mm, naložená půda a dno o síle minimálně 25 mm je součástí konstrukce skříně, nebo samostatně jako krycí a soklová deska, půda,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Provedení - korpus lamino šedostříbrná metalická RAL 9006.
</t>
  </si>
  <si>
    <t xml:space="preserve">Police na stěnu, materiál bočnice a police LTD o síle minimálně 25 mm, po celém obvodu opatřena  2 mm hranou ABS deska záda LTD 18 mm, včetně kování pro zavěšení. Barevnost lamina - šedostříbrná metalická RAL 9006.
</t>
  </si>
  <si>
    <t>800 × 300 × 300</t>
  </si>
  <si>
    <t>1000 × 460 × 1790</t>
  </si>
  <si>
    <t>4200 × 600 × 2050</t>
  </si>
  <si>
    <t>1200 × 600 × 2050</t>
  </si>
  <si>
    <t>2400 × 600 × 2050</t>
  </si>
  <si>
    <t>1000 × 400 × 2000</t>
  </si>
  <si>
    <t>1200 × 400 × 2000</t>
  </si>
  <si>
    <t>1000 × 500 × 2000</t>
  </si>
  <si>
    <t>1200 × 500 × 2000</t>
  </si>
  <si>
    <t>1000 × 600 × 2000</t>
  </si>
  <si>
    <t>1200 × 600 × 2000</t>
  </si>
  <si>
    <t>800 × 600 × 2000</t>
  </si>
  <si>
    <t>800 × 400 × 2000</t>
  </si>
  <si>
    <t>1000 × 300 × 2500</t>
  </si>
  <si>
    <t>950 × 600 × 1950</t>
  </si>
  <si>
    <t>950 × 400 × 1950</t>
  </si>
  <si>
    <t>1500 × 700 × 880</t>
  </si>
  <si>
    <t>K6</t>
  </si>
  <si>
    <t>MR1</t>
  </si>
  <si>
    <t>MR2</t>
  </si>
  <si>
    <t>LAB S1</t>
  </si>
  <si>
    <t>LAB S2</t>
  </si>
  <si>
    <t>LAB S3</t>
  </si>
  <si>
    <t>LAB S5</t>
  </si>
  <si>
    <t>LAB S6</t>
  </si>
  <si>
    <t>LAB SE1</t>
  </si>
  <si>
    <t xml:space="preserve">Regál kovový - 5 pater polic
povrchová úprava vypalovaným epoxidovým lakem
montovaný - 1x základní pole, 2x přístavné pole
police kovové, plné, přestavné
nosnost police min. 50kg
</t>
  </si>
  <si>
    <t>Úpravna vody - reverzní osmóza
produkce 5 l/hod
nástěnná montáž
kvalita vody na výstupu  &lt;1 µS/cm
automatické odstavení zařízení při překročení požadované výstupní vodivosti
a vypnutí při maximální hladině v případě použitého zásobníku
mikrobiální filtr na výstupu
sanitace - chlórovými tabletami
napájení 230V</t>
  </si>
  <si>
    <t>LAB SE3</t>
  </si>
  <si>
    <t>790 × 890 × 1990</t>
  </si>
  <si>
    <t>700 × 830 × 2150</t>
  </si>
  <si>
    <t>600 × 620 × 1840</t>
  </si>
  <si>
    <t>2000 × 650 × 900</t>
  </si>
  <si>
    <t>800 × 350 × 600</t>
  </si>
  <si>
    <t>600 × 350 × 600</t>
  </si>
  <si>
    <t>2100 × 960 × 2300</t>
  </si>
  <si>
    <t>MR3</t>
  </si>
  <si>
    <t>600 × 600 × 1800</t>
  </si>
  <si>
    <t xml:space="preserve">Chladnička kombinovaná
objem chladničky min. 220 litrů
4 skleněné police
objem mrazničky min. 90 litrů
3 plastové zásuvky
napájení: 230V
</t>
  </si>
  <si>
    <t xml:space="preserve">Mraznička
objem min. 260 litrů
6 plastových  zásuvek
napájení: 230V
</t>
  </si>
  <si>
    <t xml:space="preserve">Skříň laboratorní kovová 
 4x dvířka plná, povrchová úprava stříkaný lak, nebo epoxidový vypalovaný lak
konstrukce vařená, ocelový plech o síle min. 0,8mm, na soklu
2x zámek
úchytky kovové
4x police výškově stavitelná, 1x police pevná
</t>
  </si>
  <si>
    <t xml:space="preserve">Skříň laboratorní kovová 
2x dvířka plná - LEVÁ, povrchová úprava stříkaný lak, nebo epoxidový vypalovaný lak
konstrukce vařená, ocelový plech o síle min. 0,8mm, na soklu
2x zámek
úchytky kovové
4x police výškově stavitelná, 1x police pevná
</t>
  </si>
  <si>
    <t>800 × 420 × 2000</t>
  </si>
  <si>
    <t>600 × 420 × 2000</t>
  </si>
  <si>
    <t>1600 × 800 × 750 - 2000</t>
  </si>
  <si>
    <t>T3</t>
  </si>
  <si>
    <t>S21</t>
  </si>
  <si>
    <t>IS1</t>
  </si>
  <si>
    <t>Celkový
počet</t>
  </si>
  <si>
    <t>Počet
1.etapa</t>
  </si>
  <si>
    <t>Počet
2.etapa</t>
  </si>
  <si>
    <t>Počet
3.etapa</t>
  </si>
  <si>
    <t>900 × 900 × 2250</t>
  </si>
  <si>
    <t>Stojan pro focení + vytahovací pozadí - sada obsahuje 2 stojany, rozpěrné trny do role pozadí, nástavce na stojan a přepravní tašku, textilní pozadí  bílé barvy  z vysoce kvalitních materiálů s širokým našitým lemem umožňující snadné zavěšení na tyč. Formát pozadí je 2,7 x 7 m.</t>
  </si>
  <si>
    <t>Česká zemědělská univerzita v Praze - FLD - interiér</t>
  </si>
  <si>
    <t>+</t>
  </si>
  <si>
    <t>1700 × 600 × 2050</t>
  </si>
  <si>
    <t>K7</t>
  </si>
  <si>
    <t>800 × 1800</t>
  </si>
  <si>
    <t>S22</t>
  </si>
  <si>
    <t>600 × 600 × 1300</t>
  </si>
  <si>
    <t>S23</t>
  </si>
  <si>
    <t>350+300 × 18 × 2200
+
1500+1020 × 18 × 2200</t>
  </si>
  <si>
    <t>Obložení stěny rohové, materiál LTD tloušťky 18 mm, okolo celého obvodu hrana ABS min. 2 mm, s perforací v rastru 10x10 cm, obložení obsahuje 20 háčků pro variabilní umístění v rastru - celkem 40 háčků. Barevnost lamina - dřevodekor javor přírodní.</t>
  </si>
  <si>
    <t>Dveřní tabulky - přesně formátovaný plech z hliníkových slitin s povrchovou úpravou broušená nerez.  Tloušťka tabulky max. 8 mm. Na tabulce bude logo a řezaná fóliová grafika, ve spodní části vodorovná čára frézovaná gravírkou opticky oddělující spodní lištu, cedule je vizuelně shodná s předešlou. Instalace lepením.</t>
  </si>
  <si>
    <t>S24</t>
  </si>
  <si>
    <t>profil hliníkového rámečku</t>
  </si>
  <si>
    <t>PS18</t>
  </si>
  <si>
    <t>Z10</t>
  </si>
  <si>
    <t>Detail zpracování skořepiny</t>
  </si>
  <si>
    <t>460 × 540 × 780
výška sedáku 460 mm</t>
  </si>
  <si>
    <t>S25</t>
  </si>
  <si>
    <t>2200 × 900 × 750
+
1200 × 600 × 750</t>
  </si>
  <si>
    <t>Stůl pracovní NEREZ DIN 1.4301 (AISI 304) - BROUŠENÁ
1x výlevka 400x400/250 vevařená, NEREZ DIN 1.4301 (AISI 304) - při levém okraji prac. plochy, 1x sifon laboratorní polypropylénový
pracovní plocha prolamovaná (se zvýšeným okrajem po obvodu)
výztuhy prac. plochy NEREZ - jiný materiál, např. dřevotříska, se vylučuje
síla pracovní plochy, včetně okraje - 40mm
1x spodní skříňka šxh/v 1200x600/860mm - 2x plná dvířka
1x směšovací baterie páková s hadičníkem - armatura laboratorní poplastovaná
1x směšovací baterie páková se sprchou ( na hadici ) - armatura laboratorní poplastovaná
obklad stěny za stolem - plech NEREZ DIN 1.4301  - výška 500mm
(AISI 304) - BROUŠENÁ</t>
  </si>
  <si>
    <t>860 × 760 × 760</t>
  </si>
  <si>
    <t>Z11</t>
  </si>
  <si>
    <t>Ø600 × 600</t>
  </si>
  <si>
    <t>2400 × 800 + 1850 × 600 × 750</t>
  </si>
  <si>
    <t>1000 × 1800</t>
  </si>
  <si>
    <t>2700 × 1100 × 750</t>
  </si>
  <si>
    <t>S26</t>
  </si>
  <si>
    <t xml:space="preserve">Skříň dveřová 2OH policová, úhel otevření dveří min. 110 st, panty s tlumeným dovíráním, dveře a půda lakovaná dýha, hrana nákližek, korpus materiál LTD tloušťky 18 mm, naložená půda a dno o síle minimálně 25 mm je součástí konstrukce skříně, nebo samostatně jako krycí a soklová deska,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z oboustranně laminované dřevotřískové desky tl. minimálně 8 mm, což umožňuje stavět skříně volně do prostoru, záda jsou fixovaná v drážce, skříň bude umožňovat výškovou přestavitelnost police s roztečí maximálně po 25 mm po celé délce vnitřku boku, bude použito značkového kování firmy s doživotní zárukou, úchytky hranaté kovové nerez s roztečí 128 mm, skříně jsou uzamykatelné zámkem. Provedení - dveře dýha přírodní jasan, transparentní lak, korpus lamino šedostříbrná metalická RAL 9006.
</t>
  </si>
  <si>
    <t xml:space="preserve">Skříň dveřová 2OH policová, úhel otevření dveří min. 110 st, panty s tlumeným dovíráním, dýhovaná DTD, hrana nákližek, korpus tloušťky 18 mm, naložená půda a dno o síle minimálně 25 mm je součástí konstrukce skříně, nebo samostatně jako krycí a soklová deska, police a dno/soklová deska opatřena z přední strany 2 mm hranou,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z oboustranně dýhované dřevotřískové desky tl. minimálně 8 mm, což umožňuje stavět skříně volně do prostoru, záda jsou fixovaná v drážce, skříň bude umožňovat výškovou přestavitelnost police s roztečí maximálně po 25 mm po celé délce vnitřku boku, bude použito značkového kování firmy s doživotní zárukou, úchytky hranaté kovové nerez s roztečí 128 mm, skříně jsou uzamykatelné zámkem. Provedení - dýha přírodní dub, transparentní lak.
</t>
  </si>
  <si>
    <t>1600 × 600 × 2050</t>
  </si>
  <si>
    <t xml:space="preserve">Celodřevěná jednací židle, podnož čtyřnohá, nohy z vrstveného dřeva obdélníkový profil, směrem dolu se zužující umístěné našikmo, nahoře ostře zahnuté pod sedák a spojené s ním. Sedák a opěrák spojený - skořepina - ergonomicky tvarovaná překližka s efektem "zmačkaného papíru" - překližka je při lisování skořepiny zároveń zvlněna do nepravidelných tvarů, toto zvlnění musí být ale takové, aby nijak neovlivňovalo pohodlí při sezení. Tvar dle vyobrazení. Materiál výběr minimálně z jasan, dub transparentní lak. Židle má demonstrovat technologické možnosti při zpracování dřeva a výrobě nábytku.
</t>
  </si>
  <si>
    <t xml:space="preserve">Pracovní stůl, desky stolů jsou navrženy v materiálu LTD minimální tloušťky 25 mm, zakončené ABS hranou tloušťky minimálně 2 mm, podnoží stolu bude robustní celokovové čtyřnohé (nohy umístěny v rozích stolu), rámové, nohy o profilu 40×40 mm spojené kovovými luby s povrchovou úpravou práškovou barvou, spojení kovových nohou s kovovými luby tvoří samonosnou kovovou podnož a je uskutečněno pomocí rozebíratelných konstrukčních spojů, vždy dvě nohy jsou na straně boku stolu spojeny na pokos svarem a tvoří tak rám ve tvaru obráceného U, tyto dva rámy jsou propojeny dvěma podélnými luby téhož profilu, jako nohy, stoly budou umožňovat rektifikaci minimálně o 15 mm, pro vyrovnání případných nerovností podlahy, stůl bude umožňovat vedení kabelů pod stolovou deskou kabelovým kanálem, stoly budou řešit průchod kabeláže z kabelového kanálu průchodkou nad pracovní desku, stolové desky opatřeny kovovými závrtnými maticemi pro bezproblémovou opakovanou montáž a demontáž bez znehodnocení nebo opotřebení desky stolu, barevnosti podnože RAL 9006, barevnost lamina - dřevodekor javor přírodní.
</t>
  </si>
  <si>
    <t xml:space="preserve">Pracovní stůl, desky stolů jsou navrženy v materiálu LTD minimální tloušťky 25 mm, zakončené ABS hranou tloušťky minimálně 2 mm, podnoží stolu bude robustní celokovové čtyřnohé (nohy umístěny v rozích stolu), rámové, nohy o profilu 40×40 mm spojené kovovými luby s povrchovou úpravou práškovou barvou, spojení kovových nohou s kovovými luby tvoří samonosnou kovovou podnož a je uskutečněno pomocí rozebíratelných konstrukčních spojů, vždy dvě nohy jsou na straně boku stolu spojeny na pokos svarem a tvoří tak rám ve tvaru obráceného U, tyto dva rámy jsou propojeny dvěma podélnými luby téhož profilu, jako nohy, stoly budou umožňovat rektifikaci minimálně o 15 mm, pro vyrovnání případných nerovností podlahy, stolové desky opatřeny kovovými závrtnými maticemi pro bezproblémovou opakovanou montáž a demontáž bez znehodnocení nebo opotřebení desky stolu, barevnosti podnože RAL 9006, barevnost lamina - dřevodekor javor přírodní.
</t>
  </si>
  <si>
    <t xml:space="preserve">Jednací stůl na jednom konci zaoblený, desky stolů jsou navrženy v materiálu LTD minimální tloušťky 25 mm, zakončené ABS hranou tloušťky minimálně 2 mm, podnoží stolu bude robustní celokovové čtyřnohé (nohy umístěny v rozích stolu), rámové, nohy o profilu 40×40 mm spojené kovovými luby s povrchovou úpravou práškovou barvou, spojení kovových nohou s kovovými luby tvoří samonosnou kovovou podnož a je uskutečněno pomocí rozebíratelných konstrukčních spojů, vždy dvě nohy jsou na straně boku stolu spojeny na pokos svarem a tvoří tak rám ve tvaru obráceného U, tyto dva rámy jsou propojeny dvěma podélnými luby téhož profilu, jako nohy, stoly budou umožňovat rektifikaci minimálně o 15 mm, pro vyrovnání případných nerovností podlahy, stolové desky opatřeny kovovými závrtnými maticemi pro bezproblémovou opakovanou montáž a demontáž bez znehodnocení nebo opotřebení desky stolu, barevnosti podnože RAL 9006, barevnost lamina - dřevodekor javor přírodní.
</t>
  </si>
  <si>
    <t xml:space="preserve">Jednací stůl, desky stolů jsou navrženy v materiálu LTD minimální tloušťky 25 mm, zakončené ABS hranou tloušťky minimálně 2 mm, podnoží stolu bude robustní celokovové čtyřnohé (nohy umístěny v rozích stolu), rámové, nohy o profilu 40×40 mm spojené kovovými luby s povrchovou úpravou práškovou barvou, spojení kovových nohou s kovovými luby tvoří samonosnou kovovou podnož a je uskutečněno pomocí rozebíratelných konstrukčních spojů, vždy dvě nohy jsou na straně boku stolu spojeny na pokos svarem a tvoří tak rám ve tvaru obráceného U, tyto dva rámy jsou propojeny dvěma podélnými luby téhož profilu, jako nohy, stoly budou umožňovat rektifikaci minimálně o 15 mm, pro vyrovnání případných nerovností podlahy, stolové desky opatřeny kovovými závrtnými maticemi pro bezproblémovou opakovanou montáž a demontáž bez znehodnocení nebo opotřebení desky stolu, barevnosti podnože RAL 9006, barevnost lamina - dřevodekor javor přírodní.
</t>
  </si>
  <si>
    <t>JS10</t>
  </si>
  <si>
    <t>JS11</t>
  </si>
  <si>
    <t>JS12</t>
  </si>
  <si>
    <t xml:space="preserve">Barový stůl kruhový - desky stolů jsou navrženy v materiálu LTD minimální tloušťky 25 mm, zakončené ABS hranou tloušťky minimálně 2 mm. Podnoží stolu bude robustní celokovové tvořené talířem o průměru 400 – 500 mm a trubkou o průměru 80 mm nahoře opatřeno litinovým křížem pro montáž desky o minimální hmotnosti 14 kg, stolové desky opatřeny kovovými závrtnými maticemi pro bezproblémovou opakovanou montáž a demontáž bez znehodnocení nebo opotřebení desky stolu, barevnosti podnože RAL 9006, barevnost lamina - dřevodekor javor přírodní.
</t>
  </si>
  <si>
    <t xml:space="preserve">Stohovatelná židle na čtyřech nohách s područkami, skládající se z kovového svařovaného rámu, samostatného kompozitního sedáku, opěráku a područek. Hmotnost max. 5 kg pro snadnou manipulaci. Rám: kovový subtilní, vyrobený z vysoce kvalitní oceli – profil trubka o průměru maximálně 16 mm, konstrukce zadních nohou přechází v opěrák, napojení sedáku i opěráku s kovovou konstrukcí bude bez viditelných spojovacích prvků (v ploše sedáku nejsou žádné spojovací prvky, opěrák je nasazen na trubku tak, že se trubka v místě napojení zužuje a opěrák ji obepíná z obou stran). Sedák a opěrák o síle maximálně 10 mm, ergonomicky tvarovaný (sedák příčně tvar vlny zpředu se zahnutím směrem dolů, podélně uprostřed prohnutý dolů, opěrák uprostřed prohnutý) z polyamidu zesíleného skelným vláknem,  područky délky 200 mm, napojeny v horní části na ocelovou konstrukci opěráku, nosná část ocelová trubka, na ní top z kompozitu. Vysoká odolnost a pevnost je zajištěna kompozitem skelných vláken a polyamidu. Stohovatelnost - požadavek na stohování bez doteku sedáku a rámů, ochrana rámu proti oděru při stohování. Minimální stohovatelnost 15 ks židlí. Subtillní zádová opěrka o výška 145 mm. Nosnost min. 160 kg. Nohy s kluzákem pro snadný posun po podlahové krytině. Sedák je od rámu oddělen silentbloky pro snížení přenosu hluku. Povinný výběr barevnosti sedáku a opěráku min. z možností bílá, černá, šedá, povrchová úprava rámu povinný výběr chrom, prášková barva černá, bílá.
Tvar opěradla a sedadla a celkový vzhled židle dle vyobrazení.
K výrobku nutno doložit následující certifikáty od akretidované zkušebny: 
- shodu vlastností s ČSN EN 16139:2013 
- nosnost minimálně 160 kg
</t>
  </si>
  <si>
    <t>S27</t>
  </si>
  <si>
    <t>S28</t>
  </si>
  <si>
    <t>S29</t>
  </si>
  <si>
    <t>S30</t>
  </si>
  <si>
    <t>S31</t>
  </si>
  <si>
    <t>S32</t>
  </si>
  <si>
    <t>S33</t>
  </si>
  <si>
    <t>S34</t>
  </si>
  <si>
    <t xml:space="preserve">Konferenční stohovatelná židle s konstrukcí spojeného sedáku a zádové opěrky. Kostra ocelová, průběžný rám z vysoce kvalitní oceli průměr 14 mm, povrchově upravený chromem. Rám je tvořen ocelovou kulatinou, která bez přerušení probíhá zpředu a ze zadu pod sedákem na kterou navazují dvě podélné - průběžné podnože ve tvaru U. Kluzák s měkkým povrchem pro tvrdé podlahy, bez ostrých hran z transparentního polykarbonátu. Sedák a opěrák čalouněný elastickou síťovinou. Přední hrana sedáku zaoblená, přetažená směrem dolů o minimálně 65 mm. Rám sedáku a opěráku je tuhá konstrukce z litého hliníku schopná udržet svůj tvar i za podmínek značného namáhání, a také působí jako podpůrná konstrukce pro čalounění, viditelný rám bez ostrých hran je lakovaný, rukojeť spojující v horní části hliníkový rám opěráku je z polyamidu a má tvar oblouku, za který je možné židli přenášet. Područky pevné, ve tvaru T, pevně uchycené ke konstrukci hliníkového rámu sedáku židle a opěrce, materiál polyamid vyztužený skelným vláknem. Minimální stohovatelnost 15 ks židlí. Nosnost min. 110 kg. Hmotnost max. 6 kg pro snadnou manipulaci. Složení síťoviny: 30% polyester, 70% polyester elastomer, odolnost vůči prodření min. 50.000 cyklů. Barevnost sítě výběr z minimálně 7 barev. 
</t>
  </si>
  <si>
    <t xml:space="preserve">Stohovatelná židle na čtyřech nohách bez područek, skládající se z kovového svařovaného rámu, samostatného kompozitního sedáku a opěráku. Hmotnost max. 4,3 kg pro snadnou manipulaci. Rám: kovový subtilní, vyrobený z vysoce kvalitní oceli – profil trubka o průměru maximálně 16 mm, konstrukce zadních nohou přechází v opěrák, napojení sedáku i opěráku s kovovou konstrukcí bude bez viditelných spojovacích prvků (v ploše sedáku nejsou žádné spojovací prvky, opěrák je nasazen na trubku tak, že se trubka v místě napojení zužuje a opěrák ji obepíná z obou stran). Sedák a opěrák o síle maximálně 10 mm, ergonomicky tvarovaný (sedák příčně tvar vlny zpředu se zahnutím směrem dolů, podélně uprostřed prohnutý dolů, opěrák uprostřed prohnutý) z polyamidu zesíleného skelným vláknem. Vysoká odolnost a pevnost je zajištěna kompozitem skelných vláken a polyamidu. Stohovatelnost - požadavek na stohování bez doteku sedáku a rámů, ochrana rámu proti oděru při stohování. Minimální stohovatelnost 15 ks židlí. Subtillní zádová opěrka o výška 145 mm. Nosnost min. 160 kg. Nohy s kluzákem pro snadný posun po podlahové krytině. Sedák je od rámu oddělen silentbloky pro snížení přenosu hluku. Povinný výběr barevnosti sedáku a opěráku min. z možností bílá, černá, šedá, povrchová úprava rámu povinný výběr chrom, prášková barva černá, bílá.
Tvar opěradla a sedadla a celkový vzhled židle dle vyobrazení.
K výrobku nutno doložit následující certifikáty od akretidované zkušebny: 
- shodu vlastností s ČSN EN 16139:2013 
- nosnost minimálně 160 kg
</t>
  </si>
  <si>
    <t>S11.1</t>
  </si>
  <si>
    <t xml:space="preserve">Stůl učitelský, desky stolů jsou navrženy z lakované dýhované dřevotřísky minimální tloušťky 36 mm, zakončené  hranou tloušťky minimálně 2 mm, panelové nohy, čelní deska, materiál LTD tloušťky 18 mm dveře po celém obvodu police a dno opatřena z přední strany 2 mm hranou ABS, z levé, nebo pravé strany dveřová  skříňka š. 60 cm, vybavená jednou přestavitelnou pokicí a uzamykatelná, stůl bude vybaven elektrifikačním kanálem a průchodkou v desce stolu, barevnost lamina - korpus šedostříbrná metalická RAL 9006, deska stolu a dveře dýha jasan, transparentní lak
</t>
  </si>
  <si>
    <t>630 × 630 × 760</t>
  </si>
  <si>
    <t>skříň 
400 × 400 × 1850
trezor
300 × 280 × 1500</t>
  </si>
  <si>
    <t>3500 × 650-800 / 900</t>
  </si>
  <si>
    <t>3600 × 800 × 750 - 2000</t>
  </si>
  <si>
    <t>1200 × 1000 × 900</t>
  </si>
  <si>
    <t>1200 × 600 / 900</t>
  </si>
  <si>
    <t>1200 × 960 / 2300</t>
  </si>
  <si>
    <t>800 × 1000</t>
  </si>
  <si>
    <t>210 × 115 × 7</t>
  </si>
  <si>
    <t>210 × 263 × 7</t>
  </si>
  <si>
    <t xml:space="preserve">560 × 120 / 500 </t>
  </si>
  <si>
    <t>490 × 680 / 570</t>
  </si>
  <si>
    <t>3600 × 600 / 2000</t>
  </si>
  <si>
    <t>CH</t>
  </si>
  <si>
    <t>CH3</t>
  </si>
  <si>
    <t>PEC</t>
  </si>
  <si>
    <t>RO</t>
  </si>
  <si>
    <t>DIG2</t>
  </si>
  <si>
    <t>DIG1</t>
  </si>
  <si>
    <t>LAB S7</t>
  </si>
  <si>
    <t>LAB S8</t>
  </si>
  <si>
    <t>LAB S9</t>
  </si>
  <si>
    <t>LAB S10</t>
  </si>
  <si>
    <t>LAB S11</t>
  </si>
  <si>
    <t>1700 × 100 × 900</t>
  </si>
  <si>
    <t>R350</t>
  </si>
  <si>
    <t xml:space="preserve">Mrazící box do -86°C, skříňové provedení
objem min. 520 litrů
dva zcela nezávislé chladící okruhy a kompresory
při poruše jednoho kompresoru, udrží druhý kompresor dlouhodobě  teplotu -70oC
trvale udržitelná teplota -86oC při okolní teplotě až +30oC
nastavení teploty v rozsahu -50 až -90oC
ovládání - grafický dotykový displej s datovou pamětí, USB rozhraní pro PC
vakuový ventil pro znovuotevření dveří ihned po uzavření
bezfiltrový bezúdržbový systém
3x výškově stavitelná police
funkce alarmu: vysoká teplota, otevřené dveře, výpadek proudu, závada na chlazení
výstup pro externí alarm
napájení: 230V
</t>
  </si>
  <si>
    <t xml:space="preserve">Mrazící box do -35°C, skříňové provedení
objem min. 600 litrů
teplotní rozsah: -10°C až -35°C
4x výškově stavitelná police - rošt
textový displej
ukazatel teploty vnější, digitální
elektronické ovládání
rozhraní RS 485
zámek
signalizace poruchy: zvuková, optická
funkce alarmu: výpadek proudu
odmrazování automatické
samozavírací dveře
napájení: 230V
</t>
  </si>
  <si>
    <t xml:space="preserve">Chladnička nastavitelná teplota +3 až +8 °C
objem min. 340 litrů
teplotní rozsah: +3°C až +8°C
5x výškově stavitelná police - rošt
elektronická řídící jednotka
ukazatel teploty vnější, digitální
signalizace poruchy: zvuková, optická
funkce alarmu: výpadek proudu, otevřené dveře
rozhraní RS 485
samozavírací dveře
napájení: 230V
</t>
  </si>
  <si>
    <t xml:space="preserve">Horní skříňka otevřená - 1x police s NEREZ výztuhou
NEREZ DIN 1.4301 (AISI 304) - BROUŠENÁ
</t>
  </si>
  <si>
    <t xml:space="preserve">Stůl laboratorní - pracovní, jednostranný, včetně pojízdného kontejneru 3-zásuvkového
1x servisní stěna - 3 patra polic, výška 2000mm
2x stojina kovová - ocelový profil 50x30mm
1x servisní panel celokovový se záměnnými kazetami - slouží pro instalaci zásuvek elektro a datových, laboratorních armatur - voda, technické plyny, redukčních ventilů - technické plyny apod. 
6x zásuvka 230V/16A IP44
1x 2P proudový chránič 16A IP44
1x spodní police o hloubce 250mm, pevná - kovový rám, odkládací plocha vysokotlaký laminát chemicky odolný o síle 20mm - nehraněný s viditelným jádrem
2x horní police o hloubce 300mm, výškově stavitelná - vertikálně posuvná v drážce stojiny, aretovaná dotažením šroubu - kovový rám, odkládací plocha vysokotlaký laminát chemicky odolný o síle 20mm - nehraněný s viditelným jádrem
1x kryt přívodů ze servisního prostoru stolu do servisního panelu - ocelový plech
Všechny kovové části servisní policové stěny s povrchovou úpravou epoxidovým vypalovaným lakem, konstrukce montovaná. Pracovní plocha laboratorního stolu - vysokotlaký laminát chemicky odolný o síle 20mm - nehraněný s viditelným jádrem. Konstrukce montovaná - ocelový profil 50x30mm s povrchovou úpravou epoxidovým  vypalovaným lakem. Výplně nohou a kryt prostoru pro rozvod médií - laminovaná dřevotříska o síle 18mm, konstrukce výškově stavitelná - rektifikační nožky min. M8.
Kontejner pojízdný  450x500/620mm - 3x zásuvka, konstrukční materiál laminovaná dřevotříska o síle 18mm, hrana čel zásuvek ABS2, úchytky kovové, galvanicky pokovené, nebo s povrchovou  úpravou vypalovaným epoxidovým lakem. Horní odkládací plocha - strop, zhotovena z vysokotlakého laminátu chemicky odolného o síle 16mm - nehraněný s viditelným jádrem. Bočnice zásuvek kovové, dno - laminovaná dřevotříska o síle 18mm, částečné výsuvy s tlumením. Kolečka kovová s plastovým, nebo pryžovým běhounem, čelní pár s brzdou.
</t>
  </si>
  <si>
    <t xml:space="preserve">Stůl laboratorní - pracovní, jednostranný, včetně pojízdného kontejneru 3-zásuvkového
Pracovní plocha laboratorního stolu - vysokotlaký laminát chemicky odolný o síle 20mm - nehraněný s viditelným jádrem - 2x kabelová průchodka kovová konstrukce montovaná - ocelový profil 50x30mm s povrchovou úpravou epoxidovým vypalovaným lakem. Výplně nohou a kryt prostoru pro rozvod médií - laminovaná dřevotříska o síle 18mm konstrukce výškově stavitelná - rektifikační nožky min. M8.
Kontejner pojízdný 450x500/620mm - 3x zásuvka, konstrukční materiál laminovaná dřevotříska o síle 18mm, hrana čel zásuvek ABS2, úchytky kovové, galvanicky pokovené, nebo s povrchovou 
úpravou vypalovaným epoxidovým lakem. Horní odkládací plocha - strop, zhotovena z vysokotlakého laminátu chemicky odolného o síle 16mm - nehraněný s viditelným jádrem. Bočnice zásuvek kovové, dno - laminovaná dřevotříska o síle 18mm, částečné výsuvy s tlumením. Kolečka kovová s plastovým, nebo pryžovým běhounem, čelní pár s brzdou.
</t>
  </si>
  <si>
    <t xml:space="preserve">Stůl laboratorní jednostranný
1x 1200x650 pracovní plocha laboratorního stolu - zvýšený okraj po obvodu
- keramická s chemicky odolnou glazurou, síla 30mm
1x 1500x650 pracovní plocha laboratorního stolu - bez zvýšeného okraje
- keramická s chemicky odolnou glazurou, síla 30mm
1x 800x800 pracovní plocha laboratorního stolu - bez zvýšeného okraje
- keramická s chemicky odolnou glazurou, síla 30mm
2x výlevka 400x400/250 keramická s chemicky odolnou glazurou - spodní instalace
2x sifon laboratorní polypropylénový
1x směšovací baterie páková s hadičníkem - armatura laboratorní poplastovaná
1x směšovací baterie páková se sprchou ( na hadici ) - armatura laboratorní poplastovaná
1x havarijní oční sprcha, 1 tryska, vytažitelná na hadici - armatura laboratorní
Konstrukce montovaná - ocelový profil 50x30mm s povrchovou úpravou epoxidovým vypalovaným lakem.
1x konstrukce 1200x620/870mm
1x konstrukce 1500x620/870mm
1x konstrukce 1100x620/870mm
Konstrukce výškově stavitelná - rektifikační nožky min. M8. Skříňky vkládané do kovové konstrukce, konstrukční materiál laminovaná dřevotříska o síle 18mm, hrana čel zásuvek a dvířek ABS2, úchyhtky kovové, galvanicky pokovené, nebo s povrchovou úpravou vypalovaným epoxidovým lakem. Bočnice zásuvek kovové, dno - laminovaná dřevotříska o síle 18mm, částečné výsuvy s tlumením. Závěsy dvířek s tlumením. Nohy výškově stavitelné, výška 75mm
1x skříňka dvířková pod výlevku 1200x500/820mm
1x skříňka dvířková 900x500/820mm, 2x police
1x skříňka 4-zásuvková 600x500/820mm
1x skříňka dvířková se zásuvkou 800x500/820mm, 1x police
</t>
  </si>
  <si>
    <t>jističe 16 a 10A
pracovní plocha se zvýšeným okrajem po obvodu v provedení kamenina s chemicky odolnou glazurou - síla materiálu 30mm, materiál homogenní v celé tloušťce - ne sendvič.
1x integrovaná vpusť kameninová s chemicky odolnou glazurou.
Spodní úložné prostory:
pro uložení chemikálií - odvětrávané - odsávání vzduchu připojeno na VZT odtah digestoře
1x skříňka 900 x 500 / 720 mm s výsuvným systémem - záchytná polypropylénová vana pro uložení chemikálií se vytahuje společně s čelem skříňky, dvojitý plášť z ocelového plechu. 
2x skříňka 600 x 500 / 720 mm  s výsuvným systémem - záchytná polypropylénová  vana pro uložení chemikálií se vytahuje společně s čelem skříňky, dvojitý plášť z ocelového plechu. 
Úložný prostor skříněk - polypropylénové desky o síle min. 0,6 cm, svařené do jednoho celku.
Čelo výsuvu - dvojitá konstrukce z ocelového plechu ( vnitřní stěna čela výsuvu z polypropylénu )  zvyšuje tuhost nábytkového celku, snižuje hlučnost při dovírání plnovýsuvy - ložiskové s dotahem, nosnost min. 40 kg, madla kovová, široká, masivní, bez rizika zachycení se lab. personálu 
pracovním oděvem - povrchová úprava epoxi-polyesterovou pryskyřicí.</t>
  </si>
  <si>
    <t xml:space="preserve">Digestoř 
celokovová, konstrukční materiál - ocelový zinkovaný plech o síle 1,0 až 1,5 mm povrchová úprava vnějších ploch epoxipolyesterovou pryskyřicí, min. rozměry pracovního prostoru š x h x v: 1080 x 665 x 1200 mm, pracovní plocha ve výšce 900 mm nad podlahou povrchová úprava pracovního prostoru:
Chemicky vysoce odolný povrch, odolnost teplotní a mechanická, hrdlo VZT odtahu - polypropylén - průměr min. 250 mm, se záchytem a svodem kondenzátu. Spodní hrana pracovního prostoru osazena aerodynamickou náběhovou lištou pro minimalizaci vzniku turbulencí nasávaného vzduchu uvnitř pracovního prostoru. Čelní okno z bezpečnostního skla, kaleného nebo vrstveného, usazeno v kovovém rámu.
2x tabule bezpečnostního skla posuvná do stran
Vertikální posuv rámu se sklem je prováděn manuálně s pomocí protizávaží, spodní hrana čelního proskleného rámu osazena aerodynamickou náběhovou lištou pro minimalizaci vzniku turbulencí nasávaného vzduchu uvnitř pracovního prostoru
Výbava:
- osvětlovací těleso pracovního prostoru
- vypínač osvětlení
- vypínač ventilátoru
- armatura laboratorní poplastovaná - 1x chladící voda
- ovládání vně pracovního prostoru digestoře
- 4x zásuvka 230V/16A IP55
</t>
  </si>
  <si>
    <t>jističe 16 a 10A
pracovní plocha se zvýšeným okrajem po obvodu v provedení kamenina s chemicky odolnou glazurou - síla materiálu 30mm, materiál homogenní v celé tloušťce - ne sendvič.
1x integrovaná vpusť kameninová s chemicky odolnou glazurou
Spodní úložné prostory:
Pro uložení chemikálií - odvětrávané - odsávání vzduchu připojeno na VZT odtah digestoře.
2x skříňka 600 x 500 / 720 mm  s výsuvným systémem -  záchytná polypropylénová  vana pro uložení chemikálií se vytahuje společně s čelem skříňky, dvojitý plášť z ocelového plechu.
Úložný prostor skříněk - polypropylénové desky o síle min. 0,6 cm svařené do jednoho celku.
Čelo výsuvu - dvojitá konstrukce z ocelového plechu ( vnitřní stěna čela výsuvu z polypropylénu )  zvyšuje tuhost nábytkového celku, snižuje hlučnost při dovírání plnovýsuvy - ložiskové s dotahem, nosnost min. 40 kg. Madla kovová, široká, masivní, bez rizika zachycení se lab. personálu 
pracovním oděvem - povrchová úprava epoxi-polyesterovou pryskyřicí.</t>
  </si>
  <si>
    <t xml:space="preserve">Pec laboratorní MUFLOVÁ
topná tělesa mimo pracovní prostor - chráněna muflí
objem komory 7 litrů
maximální teplota: 1200 °C
maximální příkon: 3kW
napájení: 230V/16A
regulátor elektronický s displejem - možnost uložení  30 programů po 15 krocích do paměti
větrací komínek pro odvětrávání pracovního prostoru pece, přerušovač tahu, ventilátor pro oddvětrání spalin
plášť z nerezové oceli
ručně otevírané dveře - směrem nahoru
dveře opatřeny bezpečnostním koncovým spínačem
součástí dodávky pece je realizace trasy pro odvod spalin
VZT nerezová hadice pro odvod spalin d50mm -  vícehranný průřez, 
dvojitě zahnutý profil Agraff
počátek trasy - ventilátor pece, konec trasy - komínová zděř místnosti
délka trasy 8m z toho 6m nad podhledem místnosti
trasa nad podhledem s tepelnou izolací o síle 30mm - lamelová rohož z kamenné vlny
s hliníkovou fólií - odolnost 600oC 
pro izolace potrubí
</t>
  </si>
  <si>
    <t xml:space="preserve">Stůl laboratorní
1x servisní stěna 1200mm - 3 patra polic, výška 2000mm
2x stojina kovová - ocelový profil 50x30mm
1x servisní panel 1200mm, celokovový se záměnnými kazetami - slouží pro instalaci zásuvek elektro 
a datových, laboratorních armatur - voda, technické plyny, redukčních ventilů - technické plyny apod. 
1x spodní police o hloubce 250mm, pevná - kovový rám, odkládací plocha vysokotlaký laminát chemicky odolný o síle 20mm - nehraněný s viditelným jádrem
2x horní police o hloubce 300mm, výškově stavitelná - vertikálně posuvná v drážce stojiny, aretovaná dotažením šroubu - kovový rám, odkládací plocha vysokotlaký laminát chemicky odolný o síle 20mm - nehraněný s viditelným jádrem.
1x kryt přívodů ze servisního prostoru stolu do servisního panelu - ocelový plech
Všechny kovové části servisní policové stěny s povrchovou úpravou epoxidovým vypalovaným lakem konstrukce montovaná. Pracovní plocha laboratorního stolu - vysokotlaký laminát chemicky odolný o síle 20mm - nehraněný s viditelným jádrem.
2x výlevka 450x450/250mm keramická s chemicky odolnou glazurou
2x sifon laboratorní polypropylénový
1x směšovací baterie páková s hadičníkem - armatura laboratorní poplastovaná
1x směšovací baterie páková se sprchou ( na hadici ) - armatura laboratorní poplastovaná
1x hvarijní oční sprcha, 1 tryska, vytažitelná na hadici - armatura laboratorní
3x konstrukce montovaná 1200mm - ocelový profil 50x30mm s povrchovou úpravou epoxidovým 
vypalovaným lakem.
Výplně nohou - laminovaná dřevotříska o síle 18mm. Konstruce výškově stavitelná - rektifikační nožky min. M8.
</t>
  </si>
  <si>
    <t>LAB S12</t>
  </si>
  <si>
    <t>1800 × 1200 × 750</t>
  </si>
  <si>
    <t>LAB S13</t>
  </si>
  <si>
    <t>Stůl laboratorní jednostranný
1x 1800x650 pracovní plocha laboratorního stolu - bez zvýšeného okraje
- vysokotlaký laminát chemicky odolný o síle 20mm - nehraněný s viditelným jádrem
1x konstrukce 1800x750/720mm montovaná - ocelový profil 50x30mm s povrchovou úpravou epoxidovým vypalovaným lakem.
Výplně nohou a kryt prostoru pro rozvod médií - laminovaná dřevotříska o síle 18mm.
Konstrukce výškově stavitelná - rektifikační nožky min. M8. 
Skříňky vkládané do kovové konstrukce, konstrukční materiál laminovaná dřevotříska o síle 18mm, hrana čel zásuvek a dvířek ABS2, úchyhtky kovové, galvanicky pokovené, nebo s povrchovou úpravou vypalovaným epoxidovým lakem. Bočnice zásuvek kovové, dno - laminovaná dřevotříska o síle 18mm, částečné výsuvy s tlumením. Závěsy dvířek s tlumením. Nohy výškově stavitelné, výška 75mm
1x skříňka dvířková pod výlevku 1200x500/820mm
4x skříňka dvířková se zásuvkou 450x500/670mm, 1x police</t>
  </si>
  <si>
    <t>LAB S14</t>
  </si>
  <si>
    <t>750 × 500 × 2200</t>
  </si>
  <si>
    <t>KB1</t>
  </si>
  <si>
    <t>Klimabox - chlazený inkubátor skříňový s nucenou cirkulací vzduchu
objem min. 209 litrů
teplotní rozsah: +8°C až +60°C
mikroprocesorový regulátor s grafickým LCD displejem
nastavení teploty po 0,1 °C
teplotní stabilita ±0,5 °C
regulace nastavení otáček ventilátoru
možnost zobrazení teplotního grafu za posledních 24 hodin provozu
časovač 0 – 99 hodin (možnost odloženého startu)
chybová hlášení - odchylka od nastavené teploty
poškození snímače teploty
alarm otevřených dveří
alarm výpadku napájení
alarm ztráty napětí
zásuvka 230V/16A uvnitř komory
automatické odmrazování
průchodka d11mm
4x výškově stavitelná police - rošt
vnitřní skleněné dveře
napájení: 230V</t>
  </si>
  <si>
    <t>RK1</t>
  </si>
  <si>
    <t>Růstová komora - chlazená  skříňová s nucenou cirkulací vzduchu, mobilní
objem využitelný min. 485 litrů
teplotní rozsah: 0°C až +60°C
mikroprocesorový regulátor s grafickým LCD displejem
nastavení teploty po 0,1 °C
rozsah vlhkosti 30 - 90%
regulace vlhkosti po 1%
nádoba na deionizovanou vodu
nádobka na odpadní vodu
materiál komory - nerez
vnitřní skleněné dveře
alarm otevřených dveří
automatické odmrazování
3x výškově stavitelná police - rošt
5x přídavná výškově stavitelná police - rošt
napájení: 230V</t>
  </si>
  <si>
    <t>550 × 570 × 1500</t>
  </si>
  <si>
    <t>720 × 970 × 2020</t>
  </si>
  <si>
    <t>Vitrina na stěnu uzamykatelná, korpus materiál LTD tloušťky 18 mm, opatřena hranou ABS, lepený korpus, na vnějších plochách nejsou viditelné spojovací prvky a záslepky,  záda jsou fixovaná v drážce, jednokřídlové nahoru výklopné dveře z kaleného bezpečnostního skla v hliníkovém subtilním rámu (cca 20*20 mm), uvnitř na záda nalepená dekorativní plsť tl. min 2 mm, zámek je umístěn v korpusu na spodku vitriny, systém jednotného klíče, včetně kování pro zavěšení. barevnost lamina - šedostříbrná metalická RAL 9006</t>
  </si>
  <si>
    <t>Věšáková stěna - deska LTD 18 mm, po obvodu hrana ABS 2 mm, 20 kovových dvojháčků, kotveno do stěny, včetně kování k ukotvení, barevnost lamina - šedostříbrná metalická RAL 9006.</t>
  </si>
  <si>
    <t>Věšáková stěna - deska LTD 18 mm, po obvodu hrana ABS 2 mm, 6 kovových dvojháčků, kotveno do stěny, včetně kování k ukotvení, barevnost lamina - šedostříbrná metalická RAL 9006.
V místnosti č. 356 a 372 (3.etapa) - 12 kovových háčků.</t>
  </si>
  <si>
    <t>S29.1</t>
  </si>
  <si>
    <t>750 × 300 × 300</t>
  </si>
  <si>
    <t>PS9.1</t>
  </si>
  <si>
    <t>Z12</t>
  </si>
  <si>
    <t>320 × 320 × 670</t>
  </si>
  <si>
    <t>IS2</t>
  </si>
  <si>
    <t>IS3</t>
  </si>
  <si>
    <t>Stůl laboratorní pracovní
Pracovní plocha laboratorního stolu - vysokotlaký laminát chemicky odolný o síle 20mm - nehraněný s viditelným jádrem - 2x výřez 454x454mm pro instalaci váhových bloků
2x váhový blok 450x450mm z konglomerovaného kamene o síle 40mm (2x20mm) - hrana s fazetou
Váhové bloky instalovány do kovové konstrukce stolu, způdob uložení plovoucí, na pryžových antivibračních patkách (silentblocích)
Kovová konstrukce montovaná - ocelový profil 50x30mm s povrchovou úpravou epoxidovým vypalovaným lakem. 
Výplně nohou a kryt prostoru pro rozvod médií - laminovaná dřevotříska o síle 18mm konstrukce výškově stavitelná - rektifikační nožky min. M8.
1x automaticky (plynovým pístem) vysouvaný sloupek 
4x zásuvka 230V/16A
2x zásuvka RJ45</t>
  </si>
  <si>
    <t>Účastníkem nabízené plnění</t>
  </si>
  <si>
    <t>Výrobce a typové označení výrobku</t>
  </si>
  <si>
    <t>Technické parametry</t>
  </si>
  <si>
    <t>Vyobrazení – barevná fotografie</t>
  </si>
  <si>
    <t xml:space="preserve">Stůl konferenční kruhový - desky stolů jsou navrženy z lakované dýhované dřevotřísky, nebo MDF minimální tloušťky 25 mm, zakončené hranou tloušťky minimálně 2 mm. Podnoží stolu bude robustní celokovové tvořené talířem o průměru 400 – 500 mm a trubkou o průměru 80 mm nahoře opatřeno litinovým křížem pro montáž desky o minimální hmotnosti 14 kg, stolové desky opatřeny kovovými závrtnými maticemi pro bezproblémovou opakovanou montáž a demontáž bez znehodnocení nebo opotřebení desky stolu, barevnosti podnože chrom. Materiálové provedení stolové desky - dýha jasan, transparentní lak.
</t>
  </si>
  <si>
    <t xml:space="preserve">Stůl konferenční kruhový - desky stolů jsou navrženy z lakované dýhované dřevotřísky, nebo MDF minimální tloušťky 25 mm, zakončené hranou tloušťky minimálně 2 mm. Podnoží stolu bude robustní celokovové tvořené talířem o průměru 400 – 500 mm a trubkou o průměru 80 mm nahoře opatřeno litinovým křížem pro montáž desky o minimální hmotnosti 14 kg, stolové desky opatřeny kovovými závrtnými maticemi pro bezproblémovou opakovanou montáž a demontáž bez znehodnocení nebo opotřebení desky stolu, barevnosti podnože černá. Materiálové provedení stolové desky - dýha dub, transparentní lak.
</t>
  </si>
  <si>
    <t xml:space="preserve">Čalouněný taburet kývavý, taburet ve tvaru komolého kuželu - korpus je vyroben z expandovaného polypropylenu, na spodku je umístěno závaží a spodek a vršek má tvar vrchlíku, spodek je opatřen gumou proti smekání, zbytek je celočalouněný látkou, vrchní část odnímatelné víko, uvnitř úložný prostor. Závaží dole zajišťuje při vychýlení automatický návrat ke svislé poloze. Na taburetu je umístěn popruh s poutkem pro snažší přenášení. Hmotnost max. 4,5 kg. Čalounění látkou struktura s 3D efektem - odolnost proti otěru min. 70 000 cyklů, složení 100% polyester, stálobarevnost na světle min. 5, nehořlavost dle CAL 117 E, výběr minimálně z 9 barev.
</t>
  </si>
  <si>
    <t xml:space="preserve">Stůl, deska stolu je navržena v materiálu technický kámen o tloušťce minimálně 20 mm, který je vyroben z vysoce kvalitních přírodních surovin (křemen, skleněných střepů atd.) malého množství barevných pigmentů spojených polyesterovou pryskyřicí, mimořádně odolná proti poškrábání díky vysokému obsahu čistého křemene. Na stupnici tvrdosti podle F. Mohse stupeň min. 7, nasákavost max. 0,05%. Deska stolu s oboustrannou fazetou. Podnoží stolu - ocelová nosná konstrukce, svařenec - bude robustní celokovové čtyřnohé (nohy umístěny v rozích stolu), rámové, nohy o profilu minimálně 40×40 mm spojené třemi kovovými luby a příčníky po 50 cm s povrchovou úpravou práškovou barvou, spojení kovových nohou s kovovými luby tvoří samonosnou kovovou podnož. Barevnosti podnože RAL 9006, barevnost desky výběr min. z pěti.
</t>
  </si>
  <si>
    <t xml:space="preserve">Jednací stůl - desky stolů jsou navrženy v materiálu DTD s přírodní dubovou dýhou minimální tloušťky 36 mm, zakončené hranou min 2 mm. Podnoží stolu kombinace dřeva a kovu, čtyřnohé ve tvaru A, nohy z dubového masivu o průřezu 100×40 upevněny pod deskou stolu do kovových držáků tvořících horní část nohy, kovová rámová obdélníková konstrukce pod deskou stolu ustoupená o min. 150 mm od hrany stolu, od čela stolu jsou nohy posunuty ke středu o min 300 mm, spojení nohou s rámem stolu tvoří samonosnou kovovou podnož a je uskutečněno pomocí rozebíratelných konstrukčních spojů. Stoly budou umožňovat rektifikaci minimálně o 15 mm, pro vyrovnání případných nerovností podlahy. Stoly budou řešit vedení a průchod kabeláže kabelovým kanálem a hliníkovou uzavíratelnou průchodkou o rozměru 100×240 až 280 mm nad pracovní desku. Materiálové provedení - přírodní dub s povrchovou úpravou polyuretanový lak, kovové části výběr min ze tří barev, černá, bílá, Ral 9006. 
</t>
  </si>
  <si>
    <t xml:space="preserve">Otočná pracovní židle na 5-ramenném kříži – černý nylon, synchronní mechanika s aretací v jakékoliv poloze, dynamické sezení s vynikajícími ergonomickými vlastnostmi. Skořepinová konstrukce, tedy neoddělený sedák od opěráku. Proměnný úhel mezi sedákem a opěrákem je zajištěn pomocí flexibilní konstrukce rámu a kloubových spojů. Plynový píst pro výškové nastavení, sedák i opěrák opatřen vysoce kvalitní, samonosnou síťovinou, nastavení tuhosti odporu opěráku řešené pomocí kličky pod sedákem, výškově stavitelné 3D područky s polyuretanovým povrchem, s výškovým, předozadním a rotačním nastavením. Sedák šířka min. 500 mm, hloubka min. 460 mm. Opěrák šířka min. 500 mm, výška min. 600 mm. Nosnost min. 120 kg. Složení síťoviny: 30% polyester, 70% polyester elastomer, odolnost vůči prodření min. 50.000 cyklů. Barevnost sítě výběr z minimálně 7 barev.
K výrobku nutno doložit následující certifikáty od akretidované zkušebny: 
- shodu vlastností s ČSN EN 16139:2013 
- nosnost minimálně 120 kg
</t>
  </si>
  <si>
    <t xml:space="preserve">Pracovní otočná kancelářská židle na 5-ramenném hliníkovém leštěném kříži, synchronní mechanika s aretací v jakékoliv poloze, dynamické sezení s vynikajícími ergonomickými vlastnostmi. Skořepinová konstrukce, tedy neoddělený sedák od opěráku. Integrovaná opěrka hlavy. Proměnný úhel mezi sedákem a opěrákem je zajištěn pomocí flexibilní konstrukce rámu a kloubových spojů. Plynový píst pro výškové nastavení, sedák i opěrák čalouněný sítí. Nastavení tuhosti odporu opěráku řešené pomocí kličky pod sedákem. Výškově stavitelné 3D područky s polyuretanovým povrchem, s výškovým, předozadním a rotačním nastavením. Nosnost min. 120 kg. Sedák šířka sedáku min. 500 mm, hloubka min. 460 mm. Opěrák šířka min. 500 mm, výška min. 750 mm.  Složení síťoviny: 30% polyester, 70% polyester elastomer, odolnost vůči prodření min. 50.000 cyklů. Barevnost sítě výběr z minimálně 7 barev. 
K výrobku nutno doložit následující certifikáty od akretidované zkušebny: 
- shodu vlastností s ČSN EN 16139:2013 
- nosnost minimálně 120 kg
</t>
  </si>
  <si>
    <t xml:space="preserve">Otočná pracovní židle na 5-ramenném kříži – černý nylon, synchronní mechanika s aretací v jakékoliv poloze, dynamické sezení s vynikajícími ergonomickými vlastnostmi. Skořepinová konstrukce, tedy neoddělený sedák od opěráku. Proměnný úhel mezi sedákem a opěrákem je zajištěn pomocí flexibilní konstrukce rámu a kloubových spojů. Plynový píst pro výškové nastavení, sedák i opěrák opatřen vysoce kvalitní, samonosnou síťovinou, nastavení tuhosti odporu opěráku řešené pomocí kličky pod sedákem. Sedák šířka min. 500 mm, hloubka min. 460 mm. Opěrák šířka min. 500 mm, výška min. 600 mm. Nosnost min. 120 kg. Složení síťoviny: 30% polyester, 70% polyester elastomer, odolnost vůči prodření min. 50.000 cyklů. Barevnost sítě výběr z minimálně 7 barev. 
K výrobku nutno doložit následující certifikáty od akretidované zkušebny: 
- shodu vlastností s ČSN EN 16139:2013 
- nosnost minimálně 120 kg
</t>
  </si>
  <si>
    <t>CELKEM bez DPH</t>
  </si>
  <si>
    <t>Celková cena
bez DPH
Kč za I. etapu</t>
  </si>
  <si>
    <t>Celková cena
bez DPH
Kč za II. etapu</t>
  </si>
  <si>
    <t>Celková cena
bez DPH
Kč za III. etapu</t>
  </si>
  <si>
    <t>Celková cena montáž
bez DPH
Kč za I. etapu</t>
  </si>
  <si>
    <t>Celková cena montáž
bez DPH
Kč za II. etapu</t>
  </si>
  <si>
    <t>Celková cena montáž
bez DPH
Kč za III. etapu</t>
  </si>
  <si>
    <t>SOUČET nábytek bez DPH -všechny etapy</t>
  </si>
  <si>
    <t>MONTÁŽ včetně instalačního materiálu - bez DPH  - všechny etapy</t>
  </si>
  <si>
    <t>DOPRAVA bez DPH  - všechny etapy</t>
  </si>
  <si>
    <t>SOUČET nábytek bez DPH - I. Etapa</t>
  </si>
  <si>
    <t>MONTÁŽ včetně instalačního materiálu - bez DPH  - I. etapa</t>
  </si>
  <si>
    <t>DOPRAVA bez DPH  - I. etapa</t>
  </si>
  <si>
    <t>CELKEM bez DPH  - I. etapa</t>
  </si>
  <si>
    <t>žlutě vyznačené buňky vyplňuje uchazeč</t>
  </si>
  <si>
    <t xml:space="preserve">Kontejner, lepený korpus materiál LTD tloušťky 18 mm, naložená půda o síle minimálně 25 mm opatřená po celém obvodu hranou ABS 2 mm, čela zásuvek v provedení LTD, po celém obvodu opatřena 2 mm ABS hranami, centrální zamykání s blokací zásuvek - systém stop kontrol a dotahem zásuvek, kontejner obsahuje celkem 4 zásuvky, z toho horní má výbavu jako tužkovnice, zásuvky plastové, vysunutí zásuvek min 75%, uzavřené kuličkové výsuvy, brzděná kolečka zamezující nežádoucímu pohybu kontejneru, kontejner bude smontován a slepen ve výrobě, úchytky hranaté kovové nerez s roztečí 128 mm, barevnost lamina - šedostříbrná metalická RAL 9006.
</t>
  </si>
  <si>
    <t xml:space="preserve">Kontejner, lepený korpus materiál dýhovaná DTD tloušťky 18 mm, naložená půda o síle minimálně 25 mm opatřená po celém obvodu hranou min. 2 mm, čela zásuvek po celém obvodu opatřena 2 mm  hranami, centrální zamykání s blokací zásuvek - systém stop kontrol a dotahem zásuvek, kontejner obsahuje celkem 4 zásuvky, z toho horní má výbavu jako tužkovnice, zásuvky plastové, vysunutí zásuvek min. 75%, uzavřené kuličkové výsuvy, brzděná kolečka zamezující nežádoucímu pohybu kontejneru, kontejner bude smontován a slepen ve výrobě, úchytky průběžné hliníkové. Provedení - dýha přírodní dub, transparentní lak. 
</t>
  </si>
  <si>
    <t xml:space="preserve">Skříň dveřová 5OH policová, úhel otevření dveří min. 110 st, panty s tlumeným dovíráním, materiál dýhovaná DTD tloušťky 18 mm, naložená půda a dno o síle minimálně 25 mm je součástí konstrukce skříně, nebo samostatně jako krycí a soklová deska, půda, plné dveře po celém obvodu police a dno/soklová deska opatřena z přední strany 2 mm hranou,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dýhované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třícestným zámkem. Provedení - dýha přírodní dub, transparentní lak. 
</t>
  </si>
  <si>
    <t xml:space="preserve">Lehký skládací stůl s kovovým skládacím podnožím. Kovové podnoží tvaru obráceného písmene U - chromová trubka o průměru 30 mm v rozích spojená svarem na pokos, nohy z kónických trubek ke konci se zužujících na  min. 25 mm, uchycení nohou k desce držáky šedý plast RAL 7047 v obdobné barevnosti jako deska, fixace podnoží v rozloženém stavu pomocí pružného plechu zafrézovaného v desce, kluzáky kupolovitý tvar, na jedné straně stolu kluzáky vybaveny malými kolečky pro snadné přesouvání stolů v rozloženém stavu (stůl lze z jedné strany nadzvihnout a pak ho lze snadno převézt po kolečkách). Ze spodní strany stolové desky ve dvou drážkách dvě předepjaté ocelové tyče, které vyztužují desku a zabraňují jejímu prohnutí. Hmotnost max. 24 kg pro snadnou manipulaci. Pracovní deska z MDF tl. 22 mm s laminátem, dekor bílo-šedá (NCS 1201-G91Y), rovná hrana ABS min 2 mm.
</t>
  </si>
  <si>
    <t xml:space="preserve">Skříň dveřová 3,5OH pro rack, úhel otevření dveří min. 110 st, panty s tlumeným dovíráním, dveře lakovaná dýha, hrana nákližek, korpus materiál LTD tloušťky 18 mm, naložená půda a dno o síle minimálně 25 mm je součástí konstrukce skříně, nebo samostatně jako krycí a soklová deska, půda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z oboustranně laminované dřevotřískové desky tl. minimálně 8 mm, což umožňuje stavět skříně volně do prostoru, záda jsou fixovaná v drážce. Bude použito značkového kování firmy s doživotní zárukou, úchytky hranaté kovové nerez s roztečí 128 mm, skříně jsou uzamykatelné třícestným zámkem. Ve skříni bude řešeno vedení kabeláže a průchod kabeláže obdélníkovou hliníkovou uzavíratelnou průchodkou o rozměru 100×240 až 280 mm. Provedení - dveře dýha přírodní jasan, transparentní lak, korpus lamino šedostříbrná metalická RAL 9006. 
</t>
  </si>
  <si>
    <t xml:space="preserve">Skříň dveřová 5OH šatní, úhel otevření dveří min. 110 st, panty s tlumeným dovíráním, dveře lakovaná dýha, hrana nákližek, korpus materiál LTD tloušťky 18 mm, naložená půda a dno o síle minimálně 25 mm je součástí konstrukce skříně, nebo samostatně jako krycí a soklová deska, půda,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třícestným zámkem, skříň je vybavena šatní tyčí a dvěmi policemi. Provedení - dveře dýha přírodní jasan, transparentní lak, korpus lamino šedostříbrná metalická RAL 9006.
</t>
  </si>
  <si>
    <t xml:space="preserve">Skříň dveřová 5OH šatní, úhel otevření dveří min. 110 st, panty s tlumeným dovíráním, dveře lakovaná dýha, hrana nákližek, korpus materiál LTD tloušťky 18 mm, naložená půda a dno o síle minimálně 25 mm je součástí konstrukce skříně, nebo samostatně jako krycí a soklová deska, půda,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třícestným zámkem, skříň je vybavena šatním výsuvem a dvěmi policemi. Provedení - dveře dýha přírodní jasan, transparentní lak, korpus lamino šedostříbrná metalická RAL 9006.
</t>
  </si>
  <si>
    <t xml:space="preserve">Skříň dveřová úzká 5OH kombinovaná dole 2OH dvířka, nahoře otevřená, úhel otevření dveří min. 110 st, panty s tlumeným dovíráním, dveře lakovaná dýha, hrana nákližek, korpus materiál LTD tloušťky 18 mm, naložená půda a dno o síle minimálně 25 mm je součástí konstrukce skříně, nebo samostatně jako krycí a soklová deska, půda,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zámkem. Provedení - dveře dýha přírodní jasan, transparentní lak, korpus lamino šedostříbrná metalická RAL 9006.
</t>
  </si>
  <si>
    <t xml:space="preserve">Skříň dveřová 5OH na archiválie, prosklené dveře na celou výšku skříně z bezpečnostního, vrstveného čirého skla s fólií s UV filtrem (min. 99% redukce UV) v hliníkovém rámečku, úhel otevření dveří min. 110 st, panty s tlumeným dovíráním, korpus materiál DTD dýhovaná tloušťky 18 mm, naložená půda a dno o síle minimálně 25 mm je součástí konstrukce skříně, nebo samostatně jako krycí a soklová deska, půda, police a dno/soklová deska opatřena z přední strany 2 mm hranou,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dýhované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třícestným zámkem, zámek i úchytka budou osazeny v hliníkovém profilu. Profil hliníkového rámečku obdélníkový o rozměru 45 x 21 mm. Provedení - dýha přírodní dub, transparentní lak.
</t>
  </si>
  <si>
    <t xml:space="preserve">Skříň dveřová 5OH kombinovaná, dole plné 2OH dveře, nahoře 3OH prosklené dveře v hliníkovém rámečku, úhel otevření dveří min. 110 st, panty s tlumeným dovíráním, materiál dýhovaná DTD tloušťky 18 mm, naložená půda a dno o síle minimálně 25 mm je součástí konstrukce skříně, nebo samostatně jako krycí a soklová deska, půda, plné dveře po celém obvodu police a dno/soklová deska opatřena z přední strany 2 mm hranou,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dýhované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zámkem. Provedení - dýha přírodní dub, transparentní lak. 
</t>
  </si>
  <si>
    <r>
      <t>Skříň dveřová 5OH kombinovaná</t>
    </r>
    <r>
      <rPr>
        <u/>
        <sz val="10"/>
        <color theme="1"/>
        <rFont val="Calibri"/>
        <family val="2"/>
        <charset val="238"/>
        <scheme val="minor"/>
      </rPr>
      <t>,</t>
    </r>
    <r>
      <rPr>
        <sz val="10"/>
        <color theme="1"/>
        <rFont val="Calibri"/>
        <family val="2"/>
        <charset val="238"/>
        <scheme val="minor"/>
      </rPr>
      <t xml:space="preserve"> dole plné 2OH dveře, uprostřed 2OH dveře z kaleného čirého skla, nahoře 1OH plné dveře, úhel otevření dveří min. 110 st, panty s tlumeným dovíráním, dveře lakovaná dýha, hrana nákližek, korpus materiál LTD tloušťky 18 mm, naložená půda a dno o síle minimálně 25 mm je součástí konstrukce skříně, nebo samostatně jako krycí a soklová deska, půda,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zámkem. Provedení - dveře dýha přírodní jasan, transparentní lak, korpus lamino šedostříbrná metalická RAL 9006.
</t>
    </r>
  </si>
  <si>
    <t xml:space="preserve">Skříň dveřová 5OH šatní, úhel otevření dveří min. 110 st, materiál dýhovaná DTD tloušťky 18 mm, naložená půda a dno o síle minimálně 25 mm je součástí konstrukce skříně, nebo samostatně jako krycí a soklová deska, půda, plné dveře po celém obvodu police a dno/soklová deska opatřena z přední strany 2 mm hranou,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dýhované dřevotřískové desky tl. minimálně 8 mm, což umožňuje stavět skříně volně do prostoru, záda jsou fixovaná v drážce, skříň bude mít nahoře jednu pevnou polici a bude dělená svislou příčkou na dvě části, přičemž jedna bude s šatním výsuvem, a druhá 4 policemi výškově přestavitelnými s roztečí maximálně po 25 mm po celé délce vnitřku boku,  bude použito značkového kování firmy s doživotní zárukou, úchytky hranaté kovové nerez s roztečí 128 mm, skříně jsou uzamykatelné třícestným zámkem. Provedení - dýha přírodní dub, transparentní lak. 
</t>
  </si>
  <si>
    <t xml:space="preserve">Skříň dveřová 5OH šatní, úhel otevření dveří min. 110 st, materiál dýhovaná DTD tloušťky 18 mm, naložená půda a dno o síle minimálně 25 mm je součástí konstrukce skříně, nebo samostatně jako krycí a soklová deska, půda, plné dveře po celém obvodu police a dno/soklová deska opatřena z přední strany 2 mm hranou,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dýhované dřevotřískové desky tl. minimálně 8 mm, což umožňuje stavět skříně volně do prostoru, záda jsou fixovaná v drážce, skříň bude mít nahoře jednu pevnou polici a bude dělená svislou příčkou na dvě části, přičemž jedna bude s šatním výsuvem, a druhá 4 policemi výškově přestavitelnými s roztečí maximálně po 25 mm po celé délce vnitřku boku,  bude použito značkového kování firmy s doživotní zárukou, úchytky hranaté kovové nerez s roztečí 128 mm, skříně jsou uzamykatelné třícestným zámkem. Provedení - dveře dýha přírodní jasan, transparentní lak, korpus lamino šedostříbrná metalická RAL 9006.
</t>
  </si>
  <si>
    <t xml:space="preserve">Skříň dveřová 5OH na archiválie, prosklené dveře na celou výšku skříně z bezpečnostního, vrstveného čirého skla s fólií s UV filtrem (min. 99% redukce UV) v hliníkovém rámečku, úhel otevření dveří min. 110 st, panty s tlumeným dovíráním, korpus materiál LTD tloušťky 18 mm, naložená půda a dno o síle minimálně 25 mm je součástí konstrukce skříně, nebo samostatně jako krycí a soklová deska, půda,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třícestným zámkem, zámek i úchytka budou osazeny v hliníkovém profilu. Profil hliníkového rámečku obdélníkový o rozměru 45 x 21 mm. Provedení - lamino šedostříbrná metalická RAL 9006.
</t>
  </si>
  <si>
    <t>Paraván stolový - materiál LTD 18 mm, okolo celého obvodu hrana ABS min. 2 mm, uchyceno na kování které nepoškodí hranu ani horní plochu desky pracovního stolu, barevnost lamina - šedostříbrná metalická RAL 9006.</t>
  </si>
  <si>
    <t>Čelní deska ke stolu - materiál LTD 18 mm, okolo celého obvodu hrana ABS min 2 mm, uchyceno na kování které nepoškodí hranu ani horní plochu desky pracovního stolu, barevnost lamina - šedostříbrná metalická RAL 9006.</t>
  </si>
  <si>
    <t xml:space="preserve">Skříň dveřová 2OH, posuvné dveře, materiál LTD tloušťky 18 mm, naložená půda, dno o síle minimálně 25 mm, půda, plné dveře po celém obvodu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zámkem. Barevnost lamina - korpus šedostříbrná metalická RAL 9006, dveře dřevodekor javor přírodní.
</t>
  </si>
  <si>
    <t xml:space="preserve">Skříň dveřová 2OH, úhel otevření dveří min. 110 st, panty s tlumeným dovíráním, materiál LTD tloušťky 18 mm, naložená půda, dno o síle minimálně 25 mm, půda, plné dveře po celém obvodu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police s roztečí maximálně po 25 mm po celé délce vnitřku boku, bude použito značkového kování firmy s doživotní zárukou, úchytky hranaté kovové nerez s roztečí 128 mm, skříně jsou uzamykatelné zámkem. Barevnost lamina - korpus šedostříbrná metalická RAL 9006, dveře dřevodekor javor přírodní.
</t>
  </si>
  <si>
    <t xml:space="preserve">Skříň dveřová 5OH šatní, úhel otevření dveří min. 110 st, panty s tlumeným dovíráním, materiál LTD tloušťky 18 mm, naložená půda a dno o síle minimálně 25 mm je součástí konstrukce skříně, nebo samostatně jako krycí a soklová deska, půda, plné dveře po celém obvodu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třícestným zámkem, skříň je vybavena šatním výsuvem a dvěmi policemi. Barevnost lamina - korpus šedostříbrná metalická RAL 9006, dveře dřevodekor javor přírodní.
</t>
  </si>
  <si>
    <t>Skříň dveřová 5OH šatní, úhel otevření dveří min. 110 st, panty s tlumeným dovíráním, materiál LTD tloušťky 18 mm, naložená půda a dno o síle minimálně 25 mm je součástí konstrukce skříně, nebo samostatně jako krycí a soklová deska, půda, plné dveře po celém obvodu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třícestným zámkem, skříň je vybavena šatní tyčí a dvěmi policemi. Barevnost lamina - korpus šedostříbrná metalická RAL 9006, dveře dřevodekor javor přírodní.</t>
  </si>
  <si>
    <t>Skříň dveřová 5OH úzká policová, úhel otevření dveří min. 110 st, panty s tlumeným dovíráním, materiál LTD tloušťky 18 mm, naložená půda a dno o síle minimálně 25 mm je součástí konstrukce skříně, nebo samostatně jako krycí a soklová deska, půda, plné dveře po celém obvodu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hranaté kovové nerez s roztečí 128 mm, skříně jsou uzamykatelné třícestným zámkem. Barevnost lamina - korpus šedostříbrná metalická RAL 9006, dveře dřevodekor javor přírodní.</t>
  </si>
  <si>
    <t xml:space="preserve">Skříň 5OH kombinovaná, dole 2OH dvířka, nahoře otevřená, úhel otevření dveří min. 110 st, materiál LTD tloušťky 18 mm, naložená půda a dno o síle minimálně 25 mm je součástí konstrukce skříně, nebo samostatně jako krycí a soklová deska, půda, plné dveře po celém obvodu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čtyř polic s roztečí maximálně po 25 mm po celé délce vnitřku boku, bude použito značkového kování firmy s doživotní zárukou, úchytky hranaté kovové nerez s roztečí 128 mm, skříně jsou uzamykatelné třícestným zámkem. Barevnost lamina - korpus šedostříbrná metalická RAL 9006, dveře dřevodekor javor přírodní.
</t>
  </si>
  <si>
    <t>Skříň dveřová 5OH šatní, úhel otevření dveří min. 110 st, materiál LTD tloušťky 18 mm, naložená půda a dno o síle minimálně 25 mm je součástí konstrukce skříně, nebo samostatně jako krycí a soklová deska, půda, plné dveře po celém obvodu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mít nahoře jednu pevnou polici a bude dělená svislou příčkou na dvě části, přičemž jedna bude s šatním výsuvem, a druhá 4 policemi výškově přestavitelnými s roztečí maximálně po 25 mm po celé délce vnitřku boku, bude použito značkového kování firmy s doživotní zárukou, úchytky hranaté kovové nerez s roztečí 128 mm, skříně jsou uzamykatelné třícestným zámkem. Barevnost lamina - korpus šedostříbrná metalická RAL 9006, dveře dřevodekor javor přírodní.</t>
  </si>
  <si>
    <t xml:space="preserve">Skříň dveřová 5OH policová, úhel otevření dveří min. 110 st, materiál LTD tloušťky 18 mm, naložená půda a dno o síle minimálně 25 mm je součástí konstrukce skříně, nebo samostatně jako krycí a soklová deska, půda, plné dveře po celém obvodu police a dno/soklová deska opatřena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čtyř polic s roztečí maximálně po 25 mm po celé délce vnitřku boku, bude použito značkového kování firmy s doživotní zárukou, úchytky hranaté kovové nerez s roztečí 128 mm, skříně jsou uzamykatelné třícestným zámkem. Barevnost lamina - korpus šedostříbrná metalická RAL 9006, dveře dřevodekor javor přírodní.
</t>
  </si>
  <si>
    <t>Skříň s vestavěným trezorem - dveřová úhel otevření dveří min. 110 st, panty s tlumeným dovíráním, materiál LTD tloušťky 18 mm, naložená půda a dno o síle minimálně 25 mm, půda, plné dveře po celém obvodu police a dnom opatřena z přední strany 2 mm hranou ABS, bude použito značkového kování firmy s doživotní zárukou, úchytky hranaté kovové nerez s roztečí 128 mm, skříně jsou uzamykatelné třícestným zámkem. Barevnost lamina - korpus šedostříbrná metalická RAL 9006, dveře dřevodekor javor přírodní. Uvnitř vestavěná skříň kovová na 3 zbraně - určeno k úschově loveckých a sportovních zbraní,  jednoplášťová, vybaveny držáky na vytěráky ve dveřích skříně, hlavně zbraní, upevněny ve speciálních pěnových držácích. Skříň je zhotovena z plechu tloušťky min 4 mm. Vybaveno vnitřní uzamykatelnou schránkou na střelivo, osazeny třístranným trezorovým zámkem STUV na klíč. 
Certifikát NBÚ ověřující způsobilost technického prostředku typu 1B. Certifikát: 15 RU podle normy EN 1143-1</t>
  </si>
  <si>
    <t>SOUČET nábytek bez DPH - II. Etapa</t>
  </si>
  <si>
    <t>CELKEM bez DPH  - II. etapa</t>
  </si>
  <si>
    <t>MONTÁŽ včetně instalačního materiálu - bez DPH  - II. etapa</t>
  </si>
  <si>
    <t>DOPRAVA bez DPH  - II. etapa</t>
  </si>
  <si>
    <t>SOUČET nábytek bez DPH - III. Etapa</t>
  </si>
  <si>
    <t>MONTÁŽ včetně instalačního materiálu - bez DPH  - III. etapa</t>
  </si>
  <si>
    <t>DOPRAVA bez DPH  - III. etapa</t>
  </si>
  <si>
    <t>CELKEM bez DPH  - III. etapa</t>
  </si>
  <si>
    <t xml:space="preserve">Kuchyňka dle výkresu, spodní a horní skříňky uzavřené, dvířka - provedení dýha, korpusy LTD 18 mm, hrany na dvířkách po obvodu hrana min. 2 mm, na korpusech ABS min. 0,5 mm, pracovní deska postforming o tloušťce 38 mm, obkladová deska o síle 10 mm, včetně nerez dřezu a pákové směšovací baterie a sifonu, úhel otevření horních dveří min. 110 st, panty s tlumeným dovíráním, úchytky hranaté kovové nerez s roztečí 128 mm. Součástí kuchyně je vestavná chladnička třídy energetické účinnosti max. F, využitelný objem minimálně 140 l, krytá dvířky kuchyně;  plně integrovaná vestavná myčka nádobí třída energetické účinnosti max. D, šíře 60 cm , 14 sad nádobí, 8 programů, 3 teploty, 6. smysl, nastavitelná výška horního koše; volně stojící mikrovlnná trouba - elektronické ovládání, gril a mikrovlnný ohřev, výkon gril min. 800 W mikrovlnný ohřev min. 700 W, vnitřní objem min. 25 l bez otočného talíře - možnost využití celého vnitřního prostoru, barva šedostříbrná. Osvětlení kuchyně - led lišta s dotykovým ovládáním min délka 100 cm. Provedení - dveře dýha přírodní jasan, transparentní lak, korpus lamino šedostříbrná metalická RAL 9006, pracovní a obkladová deska barevnost Platina.
</t>
  </si>
  <si>
    <t xml:space="preserve">Kuchyňka dle výkresu, spodní a horní skříňky uzavřené, materiál LTD 18 mm, hrany na dvířkách po obvodu ABS min. 2 mm, na korpusech ABS min. 0,5 mm, pracovní deska postforming o tloušťce 38 mm, obkladová deska o síle 10 mm, včetně nerez dřezu a pákové směšovací baterie a sifonu, úhel otevření horních dveří min. 110 st, panty s tlumeným dovíráním, úchytky hranaté kovové nerez s roztečí 128 mm. Zásuvky s plnovýsuvem. Obkladová deska je umístěna na roštu cca 100 mm. Součástí kuchyně je vestavná chladnička třídy energetické účinnosti max. F, využitelný objem minimálně 140 l, krytá dvířky kuchyně a v horní polici volně stojící mikrovlnná trouba - elektronické ovládání, gril a mikrovlnný ohřev, výkon gril min. 800 W mikrovlnný ohřev min. 700 W, vnitřní objem min. 25 l bez otočného talíře - možnost využití celého vnitřního prostoru, barva šedostříbrná. Osvětlení kuchyně - led lišta s dotykovým ovládáním min. délka 100 cm. Barevnost lamina - korpus šedostříbrná metalická RAL 9006, dveře dřevodekor javor přírodní, pracovní a obkladová deska barevnost Platina.
</t>
  </si>
  <si>
    <t>Kuchyňka dle výkresu, spodní a horní skříňky uzavřené, dvířka - provedení dýha, korpusy LTD 18 mm, hrany na dvířkách po obvodu hrana min. 2 mm, na korpusech ABS min. 0,5 mm, pracovní deska postforming o tloušťce 38 mm, obkladová deska o síle 10 mm, včetně nerez dřezu a pákové směšovací baterie a sifonu, úhel otevření horních dveří min. 110 st, panty s tlumeným dovíráním, úchytky hranaté kovové nerez s roztečí 128 mm. Součástí kuchyně je vestavná kombinovaná chladnička třída energetické účinnosti max. F, využitelný objem chladničky/mrazničky min. 190/75l, hlučnost 35dB, 5 skleněných poliček, krytá dvířky kuchyně; plně integrovaná vestavná myčka nádobí třída energetické účinnosti max. D, šíře 60 cm , 14 sad nádobí, 8 programů, 3 teploty, 6. smysl, nastavitelná výška horního koše; volně stojící mikrovlnná trouba - elektronické ovládání, gril a mikrovlnný ohřev, výkon gril min. 800 W mikrovlnný ohřev min. 700 W, vnitřní objem min. 25 l bez otočného talíře - možnost využití celého vnitřního prostoru, barva šedostříbrná. Osvětlení kuchyně - led lišta s dotykovým ovládáním min délka 100 cm. Provedení - dveře dýha přírodní jasan, transparentní lak, korpus lamino šedostříbrná metalická RAL 9006, pracovní a obkladová deska barevnost Platina.</t>
  </si>
  <si>
    <t>Kuchyňka roletová, nástavba uzavíratelná dýhovanou roletou, korpusy LTD 18 mm, dveře dýhovaná dřevotříska  tloušťky 18 mm, zakončené hranou tloušťky minimálně 2 mm hrany  na korpusech ABS min. 0,5 mm, pracovní deska postforming o tloušťce 38 mm, včetně nerez dřezu a pákové směšovací baterie, dole uzavřeno dveřmi, panty s tlumeným dovíráním, úchytky hranaté kovové nerez s roztečí 128 mm. Součástí kuchyně je vestavná chladnička třídy energetické účinnosti max. F, využitelný objem minimálně 140 l, krytá dvířky kuchyně a v horní polici volně stojící mikrovlnná trouba - elektronické ovládání, gril a mikrovlnný ohřev, výkon gril min. 800 W mikrovlnný ohřev min. 700 W, vnitřní objem min. 25 l bez otočného talíře - možnost využití celého vnitřního prostoru, barva šedostříbrná. Osvětlení - led lišta s dotykovým ovládáním. Provedení - dveře a roleta dýha přírodní jasan, transparentní lak, korpus lamino šedostříbrná metalická RAL 9006, pracovní a obkladová deska barevnost Platina.</t>
  </si>
  <si>
    <t>Na veškeré rozměry a hmotnosti u výše uvedených položek, v případě, že není uvedeno max. nebo min., umožňuje zadavatel toleranci +- 3%, s výjimkou obecně platných rozměrů, ze kterých vychází i modularita a skladebnost nábytku, jako rozměry stolů, šířky skříní atd.</t>
  </si>
  <si>
    <t xml:space="preserve">Pracovní stůl sestava s přídavným stolem - dýhovaná DTD, nebo MDF, stolová deska minimální tloušťky 36 mm, zakončené hranou tloušťky minimálně 2 mm. Podnoží stolu budou tvořit dvě skříňky o šířce 300 mm, ve vnější skříňce bude umístěn vertikální plnovýsuv (dvířka spojená s min. dvěmi policemi, nebo koši s pevným dnem na plnovýsuvu) ve vnitřní noze otevíravá skříňka pro umístění PC, skříňky jsou spojeny čelním panelem, lubem o výšce 450 až 550 mm, stůl bude pevně spojen s přídavným stolem pomocí spojovacího kování. Mezi stolovou deskou a podnožím je pohledová mezera o výšce 25 až 30 mm, stolová deska je upevněna přes kovové nerezové kostky o staně 50 až 60 mm. Přídavný stůl je tvořen lubem na plnou výšku a jednou panelovou nohou na vnější straně. Stůl bude umožňovat vedení kabelů pod stolovou deskou kabelovým kanálem. Stoly budou řešit průchod kabeláže z kabelového kanálu hliníkovou uzavíratelnou průchodkou o rozměru 100×240 až 280 mm nad pracovní desku. Průběžné hliníkové úchytky, sokl o výšce 36 mm opatřený hliníkem. Stoly budou umožňovat rektifikaci minimálně o 15 mm, pro vyrovnání případných nerovností podlahy. Materiálové provedení - dýha dub, transparentní lak.
</t>
  </si>
  <si>
    <t xml:space="preserve">Pracovní stůl sestava s přídavným stolem panelová podnož - deska stolu a dvířka dýhovaná dřevotříska, stolová deska minimální tloušťky 36 mm, zakončené hranou tloušťky minimálně 2 mm. Podnoží stolu bude robustní z LTD desek minimálně 25 mm, boční noha na spoji s přídavným stolem bude zkrácená a stůl bude pevně spojen s přídavným stolem pomocí spojovacího kování. Stůl bude umožňovat vedení kabelů pod stolovou deskou kabelovým kanálem. Místo vnější nohy bude použita výsuvná skříňka šířky 400 až 450 mm (dvířka spojená s policemi na plnovýsuvu). Stoly budou řešit průchod kabeláže z kabelového kanálu hliníkovou uzavíratelnou průchodkou o rozměru 100×240 až 280 mm nad pracovní desku. Stoly budou umožňovat rektifikaci minimálně o 15 mm, pro vyrovnání případných nerovností podlahy. Materiálové provedení stolové desky a dvířek - dýha jasan, transparentní lak, korpus lamino šedostříbrná metalická RAL 9006.
Při montáži počítat s vyřezem pro zásuvky do podnože stolu.
</t>
  </si>
  <si>
    <t xml:space="preserve">Pracovní stůl sestava s přídavným stolem panelová podnož - deska stolu a dvířka dýhovaná dřevotříska, stolová deska minimální tloušťky 36 mm, zakončené hranou tloušťky minimálně 2 mm. Podnoží stolu bude robustní z LTD desek minimálně 25 mm, boční noha na spoji s přídavným stolem bude zkrácená a stůl bude pevně spojen s přídavným stolem pomocí spojovacího kování. Stůl bude umožňovat vedení kabelů pod stolovou deskou kabelovým kanálem. Místo vnější nohy bude použita výsuvná skříňka šířky 400 až 450 mm (dvířka spojená s policemi na plnovýsuvu). Stoly budou řešit průchod kabeláže z kabelového kanálu hliníkovou uzavíratelnou průchodkou o rozměru 100×240 až 280 mm nad pracovní desku. Stoly budou umožňovat rektifikaci minimálně o 15 mm, pro vyrovnání případných nerovností podlahy. Materiálové provedení stolové desky a dvířek - dýha jasan, transparentní lak,  korpus lamino šedostříbrná metalická RAL 9006.
</t>
  </si>
  <si>
    <t xml:space="preserve">Pracovní stůl sestava s přídavným stolem panelová podnož - deska stolu a dvířka dýhovaná dřevotříska, stolová deska minimální tloušťky 36 mm, zakončené hranou tloušťky minimálně 2 mm. Podnoží stolu bude robustní z LTD desek minimálně 25 mm, boční noha na spoji s přídavným stolem bude zkrácená a stůl bude pevně spojen s přídavným stolem pomocí spojovacího kování. Stůl bude umožňovat vedení kabelů pod stolovou deskou kabelovým kanálem. Místo vnější nohy bude použita výsuvná skříňka šířky 400 až 450 mm (dvířka spojená s policemi na plnovýsuvu). Stoly budou řešit průchod kabeláže z kabelového kanálu průchodkou nad pracovní desku. Stoly budou umožňovat rektifikaci minimálně o 15 mm, pro vyrovnání případných nerovností podlahy. Materiálové provedení stolové desky a dvířek - dýha jasan, transparentní lak, korpus lamino šedostříbrná metalická RAL 9006.
Při montáži počítat s vyřezem pro zásuvky do podnože stolu.
</t>
  </si>
  <si>
    <t>Pracovní stůl sestava s přídavným stolem panelová podnož - deska stolu a dvířka dýhovaná dřevotříska, stolová deska minimální tloušťky 36 mm, zakončené hranou tloušťky minimálně 2 mm. Podnoží stolu bude robustní z LTD desek minimálně 25 mm, boční noha na spoji s přídavným stolem bude zkrácená a stůl bude pevně spojen s přídavným stolem pomocí spojovacího kování. Stůl bude umožňovat vedení kabelů pod stolovou deskou kabelovým kanálem. Místo vnější nohy bude použita výsuvná skříňka šířky 400 až 450 mm (dvířka spojená s policemi na plnovýsuvu). Stoly budou řešit průchod kabeláže z kabelového kanálu průchodkou nad pracovní desku. Stoly budou umožňovat rektifikaci minimálně o 15 mm, pro vyrovnání případných nerovností podlahy. Materiálové provedení stolové desky a dvířek - dýha jasan, transparentní lak, korpus lamino šedostříbrná metalická RAL 9006.
Při montáži počítat s vyřezem pro zásuvky do podnože stolu.</t>
  </si>
  <si>
    <t xml:space="preserve">Pracovní stůl - desky stolů jsou navrženy z lakované dýhované dřevotřísky, nebo MDF minimální tloušťky 25 mm, zakončené  hranou tloušťky minimálně 2 mm, Podnoží stolu kombinace dřeva a kovu, čtyřnohé ve tvaru A, nohy z masivního dřeva jasan o průřezu 70 × 25 až 30 mm, podnož se skládá z dvou rámů tvaru A, v horní části kovových, spojených na pokos svarem s krátkým příčným lubem v povrchové úpravě chrom, dřevěná část o délce min. 550 mm, průřez kovové i dřevěné části je shodný, napojení bez mezer, tyto dva rámy jsou propojeny dvěma podélnými kovovými luby ustoupenými o min. 200 mm od hrany stolu, spojení nohou s luby tvoří samonosnou kovovou podnož a je uskutečněno pomocí rozebíratelných konstrukčních spojů  Stoly budou umožňovat rektifikaci minimálně o 15 mm, pro vyrovnání případných nerovností podlahy, stůl bude umožňovat vedení kabelů pod stolovou deskou kabelovým kanálem a průchod kabeláže obdélníkovou hliníkovou uzavíratelnou průchodkou o rozměru 100×240 až 280 mm, stolové desky opatřeny kovovými závrtnými maticemi pro bezproblémovou opakovanou montáž a demontáž bez znehodnocení nebo opotřebení desky stolu. Materiálové provedení stolové desky a nohou - dýha jasan, transparentní lak. Barevnost kovu chrom, luby možno v šedostříbrné RAL.
</t>
  </si>
  <si>
    <t xml:space="preserve">Pracovní stůl - desky stolů jsou navrženy z lakované dýhované dřevotřísky, nebo MDF minimální tloušťky 25 mm, zakončené  hranou tloušťky minimálně 2 mm, Podnoží stolu kombinace dřeva a kovu, čtyřnohé ve tvaru A, nohy z masivního dřeva jasan o průřezu 70 × 25 až 30 mm, podnož se skládá z dvou rámů tvaru A, v horní části kovových, spojených na pokos svarem s krátkým příčným lubem v povrchové úpravě chrom, dřevěná část o délce min. 550 mm, průřez kovové i dřevěné části je shodný, napojení bez mezer, tyto dva rámy jsou propojeny dvěma podélnými kovovými luby ustoupenými o min. 200 mm od hrany stolu, spojení nohou s luby tvoří samonosnou kovovou podnož a je uskutečněno pomocí rozebíratelných konstrukčních spojů  Stoly budou umožňovat rektifikaci minimálně o 15 mm, pro vyrovnání případných nerovností podlahy, stůl bude umožňovat vedení kabelů pod stolovou deskou kabelovým kanálem, stolové desky opatřeny kovovými závrtnými maticemi pro bezproblémovou opakovanou montáž a demontáž bez znehodnocení nebo opotřebení desky stolu. Materiálové provedení stolové desky a nohou - dýha jasan, transparentní lak. Barevnost kovu chrom, luby možno v šedostříbrné RAL.
</t>
  </si>
  <si>
    <t>Stůl pracovní - desky stolů jsou navrženy z lakované dýhované dřevotřísky, nebo MDF minimální tloušťky 25 mm, zakončené  hranou tloušťky minimálně 2 mm, . Podnoží stolu bude robustní celokovové, vyrobeno kompletně z aluminia, mostového typu, nohy tvaru T spojené kovovým lubem, spojení kovových nohou s lubem tvoří samonosnou kovovou podnož, a je uskutečněno pomocí rozebíratelných konstrukčních spojů, spodní vodorovná část podnože s rektifikací bude celokovová provedení leštěné aluminium, délky 700 až 750 mm, přičemž ale nebude v žádném místě přečnívat přes obrys desky, ostatní části jsou z aluminia stříkaného barvou RAL 9006. Stůl bude umožňovat vedení kabelů bočním krytem na noze. Stůl bude výškově stavitelný (rozsah minimálně 735 - 935 mm) - nastavení výšky bude jednoduché a časově nenáročné (fixaci na 2 šrouby v každé bočnici). Stoly budou zároveň umožňovat rektifikaci minimálně o 15 mm, pro vyrovnání případných nerovností podlahy, stoly budou řešit průchod kabeláže pomocí plechového kanálu a průchodkou na pracovní desku, stolové desky opatřeny kovovými závrtnými maticemi pro bezproblémovou opakovanou montáž a demontáž bez znehodnocení nebo opotřebení desky stolu - materiálové provedení stolové desky - dýha jasan, transparentní lak</t>
  </si>
  <si>
    <t>Stůl na kolečkách, desky stolů jsou navrženy v materiálu LTD minimální tloušťky 25 mm, zakončené ABS hranou tloušťky minimálně 2 mm,  Podnoží stolu bude robustní celokovové, vyrobeno kompletně z aluminia, mostového typu, nohy tvaru T spojené kovovým lubem, spojení kovových nohou s lubem tvoří samonosnou kovovou podnož, a je uskutečněno pomocí rozebíratelných konstrukčních spojů, spodní vodorovná část podnože s rektifikací bude celokovová provedení leštěné aluminium, délky 700 až 750 mm, přičemž ale nebude v žádném místě přečnívat přes obrys desky, ostatní části jsou z aluminia stříkaného barvou RAL 9006. Stůl bude umožňovat vedení kabelů bočním krytem na noze. Stůl bude výškově stavitelný (rozsah minimálně 735 - 935 mm) - nastavení výšky bude jednoduché a časově nenáročné (fixaci na 2 šrouby v každé bočnici). nohy jsou vybaveny bržděnými pojezdovými koly s nosností min 50 kg/kolečko, barevnosti podnože RAL 9006, barevnost lamina - dřevodekor javor přírodní.</t>
  </si>
  <si>
    <t>Stůl pracovní - desky stolů jsou navrženy z lakované dýhované dřevotřísky, nebo MDF minimální tloušťky 25 mm, zakončené  hranou tloušťky minimálně 2 mm. Podnoží stolu bude robustní celokovové, vyrobeno kompletně z aluminia, mostového typu, nohy tvaru T spojené kovovým lubem, spojení kovových nohou s lubem tvoří samonosnou kovovou podnož, a je uskutečněno pomocí rozebíratelných konstrukčních spojů, spodní vodorovná část podnože s rektifikací bude celokovová provedení leštěné aluminium, délky 500 až 600 mm, přičemž ale nebude v žádném místě přečnívat přes obrys desky, ostatní části jsou z aluminia stříkaného barvou RAL 9006. Stůl bude umožňovat vedení kabelů bočním krytem na noze. Stůl bude výškově stavitelný (rozsah minimálně 735 - 935 mm) - nastavení výšky bude jednoduché a časově nenáročné (fixaci na 2 šrouby v každé bočnici). Stoly budou zároveň umožňovat rektifikaci minimálně o 15 mm, pro vyrovnání případných nerovností podlahy, stoly budou řešit průchod kabeláže pomocí plechového kanálu a průchodkou na pracovní desku, stolové desky opatřeny kovovými závrtnými maticemi pro bezproblémovou opakovanou montáž a demontáž bez znehodnocení nebo opotřebení desky stolu - materiálové provedení stolové desky - dýha jasan, transparentní lak</t>
  </si>
  <si>
    <t xml:space="preserve">Stůl pracovní pro mikroskop, deska stolu je navržena minimální tloušťky 25 mm, panelové nohy, lub o výšce 300 mm, materiál LTD tloušťky 18 mm, stolová deska, dveře po celém obvodu police a dno opatřena z přední strany 2 mm hranou ABS, součástí podnože dveřová skříňka š. 30 cm, vybavená jednou přestavitelnou policí a uzamykatelná, lub i skříňka budou uskočeny od zadní části desky stolu o 100 mm, bude na nich umístěna elektrifikace (není součástí dodávky nábytku), úchytka kovová s roztečí 128 mm, rektifikace pro vyrovnání případných nerovností podlahy, barevnost lamina - korpus šedostříbrná metalická RAL 9006, deska stolu a dveře dřevodekor javor přírodní.
</t>
  </si>
  <si>
    <t>Stůl jednací - desky stolů jsou navrženy z lakované dýhované dřevotřísky, nebo MDF minimální tloušťky 25 mm, zakončené hranou tloušťky minimálně 2 mm, kovové čtyřnohé podnoží s obvodovým rámem, celé vyrobené z hliníkového profilu trojúhelníkového průřezu o rozměru 76×40 až 45 mm se zaoblenými hranami, spojení nohou s obvodovým rámem je v rozích pomocí kovového odlitku v provedení chrom lesk, profily podnože jsou v provedení broušený hliník, nohy jsou dole zakončeny kovovými záslepkami v provedení lesklý chrom s integrovanou rektifikací, která je ovládána pomocí kolečka snadno dostupného z čela záslepky, spojení nohou s rámem tvoří samonosnou kovovou podnož, a je uskutečněno pomocí rozebíratelných konstrukčních spojů, stoly budou umožňovat rektifikaci minimálně o 15 mm, pro vyrovnání případných nerovností podlahy, stoly budou řešit vedení kabeláže kanálem a průchod kabeláže obdélníkovou hliníkovou uzavíratelnou průchodkou o rozměru 100×240 až 280 mm, stolové desky opatřeny kovovými závrtnými maticemi pro bezproblémovou opakovanou montáž a demontáž bez znehodnocení nebo opotřebení desky stolu. Materiálové provedení stolové desky - dýha jasan, transparentní lak.</t>
  </si>
  <si>
    <t>Stůl jednací - desky stolů jsou navrženy z lakované dýhované dřevotřísky, nebo MDF minimální tloušťky 25 mm, zakončené hranou tloušťky minimálně 2 mm, kovové šestinohé podnoží s obvodovým rámem, celé vyrobené z hliníkového profilu trojúhelníkového průřezu o rozměru 76×40 až 45 mm se zaoblenými hranami, čtyři nohy jsou v rozích stolu, dvě prostřední uskočeny od hrany stolu o min. 200 mm, spojení nohou s obvodovým rámem je v rozích pomocí kovového odlitku v provedení chrom lesk, profily podnože jsou v provedení broušený hliník, nohy jsou dole zakončeny kovovými záslepkami v provedení lesklý chrom s integrovanou rektifikací, která je ovládána pomocí kolečka snadno dostupného z čela záslepky, spojení nohou s rámem tvoří samonosnou kovovou podnož, a je uskutečněno pomocí rozebíratelných konstrukčních spojů, stoly budou umožňovat rektifikaci minimálně o 15 mm, pro vyrovnání případných nerovností podlahy, stoly budou řešit vedení kabeláže kanálem a průchod kabeláže dvěmi obdélníkovými hliníkovými uzavíratelnými průchodkami o rozměru 100×240 až 280 mm, stolové desky opatřeny kovovými závrtnými maticemi pro bezproblémovou opakovanou montáž a demontáž bez znehodnocení nebo opotřebení desky stolu. Materiálové provedení stolové desky - dýha jasan, transparentní lak.</t>
  </si>
  <si>
    <t xml:space="preserve">Stůl jednací - desky stolů jsou navrženy z lakované dýhované dřevotřísky, nebo MDF minimální tloušťky 25 mm, zakončené hranou tloušťky minimálně 2 mm, Podnoží stolu kombinace dřeva a kovu, čtyřnohé ve tvaru A, nohy z masivního dřeva jasan o průřezu 70 × 25 až 30 mm, podnož se skládá z dvou rámů tvaru A, v horní části kovových, spojených na pokos svarem s krátkým příčným lubem v povrchové úpravě chrom, dřevěná část o délce min. 550 m, průřez kovové i dřevěné části je shodný, napojení bez mezer, tyto dva rámy jsou propojeny dvěma podélnými kovovými luby ustoupenými o min. 200 mm od hrany stolu, spojení nohou s luby tvoří samonosnou kovovou podnož a je uskutečněno pomocí rozebíratelných konstrukčních spojů. Stoly budou umožňovat rektifikaci minimálně o 15 mm, pro vyrovnání případných nerovností podlahy, stolové desky opatřeny kovovými závrtnými maticemi pro bezproblémovou opakovanou montáž a demontáž bez znehodnocení nebo opotřebení desky stolu. Materiálové provedení stolové desky a nohou - dýha jasan, transparentní lak. Barevnost kovu chrom, luby možno v šedostříbrné RAL.
</t>
  </si>
  <si>
    <r>
      <t>Křeslo, celočalouněná skořepina včetně područek, vnitřní kovový rám opatřený studenou stříkanou PUR pěnoou - hustota 60kg/m</t>
    </r>
    <r>
      <rPr>
        <sz val="10"/>
        <color theme="1"/>
        <rFont val="Calibri"/>
        <family val="2"/>
        <charset val="238"/>
      </rPr>
      <t>³</t>
    </r>
    <r>
      <rPr>
        <sz val="10"/>
        <color theme="1"/>
        <rFont val="Calibri"/>
        <family val="2"/>
        <charset val="238"/>
        <scheme val="minor"/>
      </rPr>
      <t>. Podnož otočná, čtyřramenná s šikmýmo rozkročenými trubkami ve tavru obráceného Y, které se uprostřed pod sedákem sbíhjí. Nohy kovové, trubka o Ø 20 mm v barevnosti chrom jsou opatřeny kluzáky. Čalounění látkou  vysoce odolný proti oděru (minimálně 100.000 Martindale), stálobarevnost skupina 5, stálost při tření 5, gramáž minimálně 350 g/m</t>
    </r>
    <r>
      <rPr>
        <sz val="10"/>
        <color theme="1"/>
        <rFont val="Arial Narrow"/>
        <family val="2"/>
        <charset val="238"/>
      </rPr>
      <t>²</t>
    </r>
    <r>
      <rPr>
        <sz val="10"/>
        <color theme="1"/>
        <rFont val="Calibri"/>
        <family val="2"/>
        <charset val="238"/>
        <scheme val="minor"/>
      </rPr>
      <t xml:space="preserve">, složení 100% polyester, odolnost proti ohni BS 5852 PART 0, výběr minimálně z 10 barev. 
</t>
    </r>
  </si>
  <si>
    <r>
      <t>Dvouapůlsedačka hranatá</t>
    </r>
    <r>
      <rPr>
        <b/>
        <sz val="10"/>
        <color theme="1"/>
        <rFont val="Calibri"/>
        <family val="2"/>
        <charset val="238"/>
        <scheme val="minor"/>
      </rPr>
      <t xml:space="preserve"> </t>
    </r>
    <r>
      <rPr>
        <sz val="10"/>
        <color theme="1"/>
        <rFont val="Calibri"/>
        <family val="2"/>
        <charset val="238"/>
        <scheme val="minor"/>
      </rPr>
      <t xml:space="preserve">- celočalouněný korpus, tedy sedák, opěrák a područky, kubický, hranatý tvar, područky navazují na opěrák a jsou s ním stejně vysoké, mohutný sedací polštář, tvrdé, kancelářské sezení, sedák – rám z masivního dřeva s namontovanými pružinami, zbývající části rámu: překližka, dřevotřísková deska, sedák – výplň řezaná pěna - hustota 35 kg/m³, opěrák hustota 25 kg/m³, kovové hranaté nohy, barevné možnosti: metallic, nebo chrom, nohy opatřeny kluzáky proti poškození podlahy. Čalounění látkou vysoce odolný proti oděru (minimálně 100.000 Martindale), stálobarevnost skupina 5, stálost při tření 5, gramáž minimálně 350 g/m², složení 100% polyester, odolnost proti ohni BS 5852 PART 0, výběr minimálně z 10 barev. 
</t>
    </r>
  </si>
  <si>
    <r>
      <t>Zdravotní stohovatelná židle, na čtyřech nohách, skládající se z kovového rámu, samostatného dýhovaného sedáku a opěráku, hmotnost max.</t>
    </r>
    <r>
      <rPr>
        <b/>
        <sz val="10"/>
        <color theme="1"/>
        <rFont val="Calibri"/>
        <family val="2"/>
        <charset val="238"/>
        <scheme val="minor"/>
      </rPr>
      <t xml:space="preserve"> </t>
    </r>
    <r>
      <rPr>
        <sz val="10"/>
        <color theme="1"/>
        <rFont val="Calibri"/>
        <family val="2"/>
        <charset val="238"/>
        <scheme val="minor"/>
      </rPr>
      <t xml:space="preserve">5 kg pro snadnou manipulaci. Rám: kovový subtilní, vyrobený z vysoce kvalitní oceli – profil trubka o průměru maximálně 16 mm, povrchová úprava chrom, konstrukce zadních nohou přechází v opěrák, napojení sedáku i opěráku s kovovou konstrukcí bude bez viditelných spojovacích prvků (v ploše sedáku nejsou žádné spojovací prvky, opěrák je nasazen na trubku tak, že se trubka v místě napojení zužuje a opěrák ji obepíná z obou stran). Subtilní zádová opěrka o výšce 145 mm. Sedák a opěrák z vysoce kvalitní překližky o síle maximálně 10 mm ergonomicky tvarovaný (sedák příčně tvar vlny zpředu se zahnutím směrem dolů, podélně uprostřed prohnutý dolů, opěrák uprostřed prohnutý) z vysoce kvalitní překližky o síle maximálně 10 mm, spodní část sedáku je opatřena plastovým výliskem, který zajišťuje ochranu při stohování /požadavek stohování bez doteku sedáku a rámů/, minimální stohovatelnost 15 ks židlí. Nohy s kluzákem pro snadný posun po podlahové krytině, materiálové provedení – dýha přírodní bříza s možností moření do minimálně 4 odstínů, povrchová úprava polyuretanový lak. Minimální požadovaná záruční doba garantovaná výrobcem - 10 let. Tvar opěradla a celkový vzhled židle dle vyobrazení.
K výrobku nutno doložit následující certifikáty od akretidované zkušebny: 
- shodu vlastností s ČSN EN 16139:2013 
- nosnost minimálně 160 kg
</t>
    </r>
  </si>
  <si>
    <r>
      <t>Křeslo 1-místné půlkulatý tvar, celočalouněné včetně oppěráku a područek, sedák – rám z masivního dřeva s polyuretanovou pěnou, opěrák a područky spojené do půlkulatého, nahoru se rozšiřujícího tvaru, velmi pohledově subtilní (tloušťka max 2,5 cm), z ohnuté překližky opatřené polyuretanovou pěnou a očalouněné látkou. Na opěrák je pro pohodlnější sezení umístěn čalouněný polštář. Podnož je čtyřnohá, masivní dřevo, nohy umístěné našikmo, kulaté nohy o průměru 38 mm jsou spojeny zpředu příčným lubem a zadní nohy dvěmi šikmými luby, pro vyšší stabilitu jsou zadní nohy posunuty dozadu až za opěrák. Tvar dle vyobrazení. Materiál výběr jasan, javor, dub transparentní lak. Čalouněno látkou materiál 100% trevira, hmotnost 340 g/m</t>
    </r>
    <r>
      <rPr>
        <sz val="10"/>
        <color theme="1"/>
        <rFont val="Arial Narrow"/>
        <family val="2"/>
        <charset val="238"/>
      </rPr>
      <t>²</t>
    </r>
    <r>
      <rPr>
        <sz val="10"/>
        <color theme="1"/>
        <rFont val="Calibri"/>
        <family val="2"/>
        <charset val="238"/>
        <scheme val="minor"/>
      </rPr>
      <t>, odolnost proti oděru 100.000 Martindale, odolnost proti žmolkování skupina 4, stálobarevnost skupina 5, odolnost proti ohni EN 1021-1, 2, BS 5852-5, DIN 4102:B1, výběr min. z 10 barev.</t>
    </r>
  </si>
  <si>
    <r>
      <rPr>
        <b/>
        <sz val="10"/>
        <color theme="1"/>
        <rFont val="Calibri"/>
        <family val="2"/>
        <charset val="238"/>
        <scheme val="minor"/>
      </rPr>
      <t xml:space="preserve">Věšák stojací, spojovatelný do řad - </t>
    </r>
    <r>
      <rPr>
        <sz val="10"/>
        <color theme="1"/>
        <rFont val="Calibri"/>
        <family val="2"/>
        <charset val="238"/>
        <scheme val="minor"/>
      </rPr>
      <t>kovový svařovaný rám vyrobený z vysoce kvalitní oceli, povrchová úprava epoxylak, věšák se skládá s dvou, nahoře otevřených lichoběžníků vyrobených z ocelové kulatiny o Ø max. 14 mm, které jsou ukončeny černými plastovými kloboučky, dole spojených šikmo uloženou spojovací příčkou a nahoře trubkou o Ø 25 mm s nahoru umístěnými 12 háčky na zavěšení oděvů, možno též použít ramínka (nejsou součástí věšáku), v koncích trubky je umístěno plastové spojovací kování, velmi stabilní provedení - barevnost výběr z: RAL 9006, bílá, černá.</t>
    </r>
  </si>
  <si>
    <t xml:space="preserve">Kuchyňka dle výkresu, spodní a horní skříňky uzavřené, dvířka - provedení dýha, korpusy LTD 18 mm, hrany na dvířkách po obvodu hrana min. 2 mm, na korpusech ABS min. 0,5 mm, pracovní deska postforming o tloušťce 38 mm, obkladová deska o síle 10 mm, včetně nerez dřezu a pákové směšovací baterie a sifonu, úhel otevření horních dveří min. 110 st, panty s tlumeným dovíráním, úchytky hranaté kovové nerez s roztečí 128 mm. Součástí kuchyně: 2 ks vestavná kombinovaná chladnička třída energetické účinnosti max. F, využitelný objem chladničky/mrazničky min. 190/75l, hlučnost 35dB, 5 skleněných poliček, krytá dvířky kuchyně; 2 ks plně integrovaná vestavná myčka nádobí třída energetické účinnosti max. D, šíře 60 cm , 14 sad nádobí, 8 programů, 3 teploty, 6. smysl, nastavitelná výška horního koše; 2 ks volně stojící mikrovlnná trouba - elektronické ovládání, gril a mikrovlnný ohřev, výkon gril min. 800 W mikrovlnný ohřev min. 700 W, vnitřní objem min. 25 l bez otočného talíře - možnost využití celého vnitřního prostoru, barva šedostříbrná; varná deska sklokeramická, min. 4 rychlovarné plotny, dotykové ovládání, bez rámečku, počet stupňů výkonu min. 9; odsavač par výsuvný s nerez lištou, energetická třída max. D, 3 stupně rychlosti, omyvatelné hliníkové tukové filtry,  uhlíkový filtr. Osvětlení kuchyně - led lišta s dotykovým ovládáním min. délka 200 cm. Provedení - dveře dýha přírodní jasan, transparentní lak, korpus lamino šedostříbrná metalická RAL 9006, pracovní a obkladová deska barevnost Platina.
</t>
  </si>
  <si>
    <t>Kuchyňka dle výkresu, spodní a horní skříňky uzavřené, materiál LTD tloušťky 18 mm, plné dveře po celém obvodu, police opatřena z přední strany 2 mm hranou ABS, na korpusech ABS min. 0,5 mm, pracovní deska postforming o tloušťce 38 mm, obkladová deska o síle 10 mm, včetně nerez dřezu a pákové směšovací baterie a sifonu, úhel otevření horních dveří min. 110 st, panty s tlumeným dovíráním, úchytky hranaté kovové nerez s roztečí 128 mm. Součástí kuchyně je vestavná chladnička třídy energetické účinnosti max. F, využitelný objem minimálně 140 l, krytá dvířky kuchyně a v horní polici volně stojící mikrovlnná trouba - elektronické ovládání, gril a mikrovlnný ohřev, výkon gril min. 800 W mikrovlnný ohřev min. 700 W, vnitřní objem min. 25 l bez otočného talíře - možnost využití celého vnitřního prostoru, barva šedostříbrná. Osvětlení kuchyně - led lišta s dotykovým ovládáním min. délka 100 cm. Barevnost lamina - korpus šedostříbrná metalická RAL 9006, dveře dřevodekor javor přírodní, pracovní a obkladová deska barevnost Platina.</t>
  </si>
  <si>
    <t xml:space="preserve">Kuchyňka dle výkresu, spodní a horní skříňky uzavřené, materiál LTD 18 mm, hrany na dvířkách po obvodu ABS min. 2 mm, na korpusech ABS min. 0,5 mm, pracovní deska postforming o tloušťce 38 mm, obkladová deska o síle 10 mm, včetně nerez dřezu a pákové směšovací baterie a sifonu, úhel otevření horních dveří min. 110 st, panty s tlumeným dovíráním, úchytky hranaté kovové nerez s roztečí 128 mm. Součástí kuchyně je vestavná kombinovaná chladnička třída energetické účinnosti max. F, využitelný objem chladničky/mrazničky min. 190/75l, hlučnost 35dB, 5 skleněných poliček, krytá dvířky kuchyně; plně integrovaná vestavná myčka nádobí třída energetické účinnosti max. D, šíře 60 cm , 14 sad nádobí, 8 programů, 3 teploty, 6. smysl, nastavitelná výška horního koše; volně stojící mikrovlnná trouba - elektronické ovládání, gril a mikrovlnný ohřev, výkon gril min. 800 W mikrovlnný ohřev min. 700 W, vnitřní objem min. 25 l bez otočného talíře - možnost využití celého vnitřního prostoru, barva šedostříbrná. Osvětlení kuchyně - led lišta s dotykovým ovládáním min délka 100 cm. Barevnost lamina - korpus šedostříbrná metalická RAL 9006, dveře dřevodekor javor přírodní, pracovní a obkladová deska barevnost Platina.
</t>
  </si>
  <si>
    <r>
      <t xml:space="preserve">Celoskleněné výstavní vitriny, samonosné, bezsloupkové, spodní a horní rám hliníkový profil, </t>
    </r>
    <r>
      <rPr>
        <b/>
        <sz val="10"/>
        <color theme="1"/>
        <rFont val="Calibri"/>
        <family val="2"/>
        <charset val="238"/>
        <scheme val="minor"/>
      </rPr>
      <t>prachotěsné,</t>
    </r>
    <r>
      <rPr>
        <sz val="10"/>
        <color theme="1"/>
        <rFont val="Calibri"/>
        <family val="2"/>
        <charset val="238"/>
        <scheme val="minor"/>
      </rPr>
      <t xml:space="preserve"> dveře a stěny bezpečnostní, vrstvené VSG sklo min tloušťky 10 mm čiré antireflex, broušená, leštěná hrana, dno mléčné VSG sklo 8 mm, police float sklo min. 8 mm  -  tři vnitřní skleněné vodorovné na lankách zavěšené přestavitelné police, silikonové těsnění, skryté panty a zámek v horním a spodním rámu, stropní panel - stmívatelné vnitřní osvětlení LED s plynulou regulací jasu, rektifikace pro vyrovnání nerovností podlahy</t>
    </r>
  </si>
  <si>
    <t>Regál s přestavnými policemi, zásuvný systém bez použití šroubů, ve sloupci 5 polic, police kovové, výškově přestavitelné po 25 mm, nosnost min. 2000 kg na sloupec, nosnost polic min 200 kg, barva rámu a polic pozinkováno</t>
  </si>
  <si>
    <r>
      <t>Regál s přestavnými policemi, zásuvný systém bez použití šroubů, ve sloupci 5 polic, police kovové, výškově přestavitelné po 25 mm, nosnost min. 2000 kg na sloupec, nosnost polic</t>
    </r>
    <r>
      <rPr>
        <b/>
        <sz val="10"/>
        <color theme="1"/>
        <rFont val="Calibri"/>
        <family val="2"/>
        <charset val="238"/>
        <scheme val="minor"/>
      </rPr>
      <t xml:space="preserve"> </t>
    </r>
    <r>
      <rPr>
        <sz val="10"/>
        <color theme="1"/>
        <rFont val="Calibri"/>
        <family val="2"/>
        <charset val="238"/>
        <scheme val="minor"/>
      </rPr>
      <t>min 185 kg, barva rámu a polic pozinkováno</t>
    </r>
  </si>
  <si>
    <r>
      <t>Regál s přestavnými policemi, zásuvný systém bez použití šroubů, ve sloupci 5 polic, police kovové, výškově přestavitelné po 25 mm, nosnost min. 2000 kg na sloupec, nosnost polic</t>
    </r>
    <r>
      <rPr>
        <b/>
        <sz val="10"/>
        <color theme="1"/>
        <rFont val="Calibri"/>
        <family val="2"/>
        <charset val="238"/>
        <scheme val="minor"/>
      </rPr>
      <t xml:space="preserve"> min 200 kg/police</t>
    </r>
    <r>
      <rPr>
        <sz val="10"/>
        <color theme="1"/>
        <rFont val="Calibri"/>
        <family val="2"/>
        <charset val="238"/>
        <scheme val="minor"/>
      </rPr>
      <t>, barva rámu a polic pozinkováno.</t>
    </r>
  </si>
  <si>
    <r>
      <t>Regál s přestavnými policemi, zásuvný systém bez použití šroubů, ve sloupci 5 polic, police kovové, výškově přestavitelné po 25 mm, nosnost min. 2000 kg na sloupec, nosnost polic</t>
    </r>
    <r>
      <rPr>
        <b/>
        <sz val="10"/>
        <color theme="1"/>
        <rFont val="Calibri"/>
        <family val="2"/>
        <charset val="238"/>
        <scheme val="minor"/>
      </rPr>
      <t xml:space="preserve"> min 185 kg/police</t>
    </r>
    <r>
      <rPr>
        <sz val="10"/>
        <color theme="1"/>
        <rFont val="Calibri"/>
        <family val="2"/>
        <charset val="238"/>
        <scheme val="minor"/>
      </rPr>
      <t>, barva rámu a polic pozinkováno.</t>
    </r>
  </si>
  <si>
    <r>
      <t>Regál s přestavnými policemi, zásuvný systém bez použití šroubů, ve sloupci 5 polic, police kovové, výškově přestavitelné po 25 mm, nosnost min. 2000 kg na sloupec, nosnost polic</t>
    </r>
    <r>
      <rPr>
        <b/>
        <sz val="10"/>
        <color theme="1"/>
        <rFont val="Calibri"/>
        <family val="2"/>
        <charset val="238"/>
        <scheme val="minor"/>
      </rPr>
      <t xml:space="preserve"> min 175 kg/police</t>
    </r>
    <r>
      <rPr>
        <sz val="10"/>
        <color theme="1"/>
        <rFont val="Calibri"/>
        <family val="2"/>
        <charset val="238"/>
        <scheme val="minor"/>
      </rPr>
      <t>, barva rámu a polic pozinkováno.</t>
    </r>
  </si>
  <si>
    <r>
      <t>Stůl pracovní NEREZ DIN 1.4301 (AISI 304) - BROUŠENÁ
2x výlevka 400x400/250 vevařená, NEREZ DIN 1.4301 (AISI 304) - při levém okraji prac. plochy, 2x sifon laboratorní polypropylénový
pracovní plocha prolamovaná (se zvýšeným okrajem po obvodu)
výztuhy prac. plochy NEREZ - jiný materiál, např. dřevotříska, se vylučuje
síla pracovní plochy, včetně okraje - 40mm
1x spodní skříňka šxh/v 1200x600/860mm - 2x plná dvířka
1x spodní skříňka šxh/v 800x600/860mm - 2x plná dvířka, 1x police s NEREZ výztuhou
1x směšovací baterie páková s hadičníkem - armatura laboratorní poplastovaná
1x směšovací baterie páková se sprchou ( na hadici ) - armatura laboratorní poplastovaná</t>
    </r>
    <r>
      <rPr>
        <b/>
        <sz val="10"/>
        <color theme="1"/>
        <rFont val="Calibri"/>
        <family val="2"/>
        <charset val="238"/>
      </rPr>
      <t xml:space="preserve">
1x horní skříňka otevřená LAB S2 - samostatná položka
2x horní skříňka otevřená LAB S3 - samostatná položka</t>
    </r>
    <r>
      <rPr>
        <sz val="10"/>
        <color theme="1"/>
        <rFont val="Calibri"/>
        <family val="2"/>
        <charset val="238"/>
      </rPr>
      <t xml:space="preserve">
osvětlení pracovní plochy - LED pásek, nebo trubice - krytí IP44, vypínač IP44 - instalováno na spodní stranu závěsných skříněk z čela a boků kryto NEREZ profilovaným plechem
obklad stěny mezi pracovní plochu stolu a horní skříňky - plech NEREZ DIN 1.4301 
(AISI 304) - BROUŠENÁ
</t>
    </r>
  </si>
  <si>
    <r>
      <t xml:space="preserve">Stůl pracovní NEREZ DIN 1.4301 (AISI 304) - BROUŠENÁ
1x výlevka 500x500/250 vevařená, NEREZ DIN 1.4301 (AISI 304) - při pravém okraji prac. plochy, 1x sifon laboratorní polypropylénový
pracovní plocha prolamovaná (se zvýšeným okrajem po obvodu)
výztuhy prac. plochy NEREZ - jiný materiál, např. dřevotříska, se vylučuje
síla pracovní plochy, včetně okraje - 40mm
1x spodní skříňka šxh/v 1200x600/860mm - 2x plná dvířka
1x směšovací baterie páková s hadičníkem - armatura laboratorní poplastovaná
1x směšovací baterie páková se sprchou ( na hadici ) - armatura laboratorní poplastovaná
</t>
    </r>
    <r>
      <rPr>
        <b/>
        <sz val="10"/>
        <color theme="1"/>
        <rFont val="Calibri"/>
        <family val="2"/>
        <charset val="238"/>
      </rPr>
      <t>2x horní skříňka otevřená LAB S3 - samostatná položka</t>
    </r>
    <r>
      <rPr>
        <sz val="10"/>
        <color theme="1"/>
        <rFont val="Calibri"/>
        <family val="2"/>
        <charset val="238"/>
      </rPr>
      <t xml:space="preserve">
osvětlení pracovní plochy - LED pásek, nebo trubice - krytí IP44, vypínač IP44 - instalováno na spodní stranu závěsných skříněk z čela a boků kryto NEREZ profilovaným plechem
obklad stěny mezi pracovní plochu stolu a horní skříňky - plech NEREZ DIN 1.4301 
(AISI 304) - BROUŠENÁ
</t>
    </r>
  </si>
  <si>
    <t xml:space="preserve">Stůl pracovní dílenský - celokovový
povrchová úprava vypalovaným epoxidovým lakem
pracovní plocha buková spárovka o síle 40mm
1x spodní úložný prostor  3-zásuvky - kov
1x spodní úložný prostor otevřený se zásuvkou - kov
1x spodní úložný prostor s dvířky, 1x police
na bočnicích stolu hranolové silentbloky - snížení možnosti přenosu vibrací a rázů na pracovní ploše na podlahu
1x skříňka závěsná - kovová - 600x350/600mm - dvířková, 1x police
1x skříňka závěsná - kovová - 900x350/600mm - otevřená, 1x police
</t>
  </si>
  <si>
    <t xml:space="preserve">Digestoř 
celokovová, konstrukční materiál - ocelový zinkovaný plech o síle 1,0 až 1,5 mm
povrchová úprava vnějších ploch epoxipolyesterovou pryskyřicí 
min. rozměry pracovního prostoru š x h x v: 1980 x 665 x 1200 mm
Pracovní plocha ve výšce 900 mm nad podlahou povrchová úprava pracovního prostoru:
chemicky vysoce odolný povrch, odolnost teplotní a mechanická.
Hrdlo VZT odtahu - polypropylén - průměr 250 mm, se záchytem a svodem kondenzátu
spodní hrana pracovního prostoru osazena aerodynamickou náběhovou lištou 
pro minimalizaci vzniku turbulencí nasávaného vzduchu uvnitř pracovního prostoru
čelní okno z bezpečnostního skla, kaleného nebo vrstveného, usazeno v kovovém rámu
2x tabule bezpečnostního skla posuvná do stran.
Vertikální posuv rámu se sklem je prováděn manuálně s pomocí protizávaží, spodní hrana čelního proskleného rámu osazena aerodynamickou náběhovou lištou pro minimalizaci vzniku turbulencí nasávaného vzduchu uvnitř pracovního prostoru.
Výbava:
- osvětlovací těleso pracovního prostoru
- vypínač osvětlení
- vypínač ventilátoru
- armatura laboratorní poplastovaná - 1x chladící voda
- ovládání vně pracovního prostoru digestoře
- 6x zásuvka 230V/16A IP55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</si>
</sst>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38"/>
      <scheme val="minor"/>
    </font>
    <font>
      <sz val="10"/>
      <name val="Arial Narrow"/>
      <family val="2"/>
      <charset val="238"/>
    </font>
    <font>
      <sz val="10"/>
      <name val="Times New Roman"/>
      <family val="1"/>
      <charset val="238"/>
    </font>
    <font>
      <sz val="10"/>
      <name val="Arial"/>
      <family val="2"/>
      <charset val="238"/>
    </font>
    <font>
      <sz val="10"/>
      <color theme="1"/>
      <name val="Calibri"/>
      <family val="2"/>
      <charset val="238"/>
      <scheme val="minor"/>
    </font>
    <font>
      <sz val="10"/>
      <color rgb="FFFF0000"/>
      <name val="Calibri"/>
      <family val="2"/>
      <charset val="238"/>
      <scheme val="minor"/>
    </font>
    <font>
      <sz val="10"/>
      <name val="Calibri"/>
      <family val="2"/>
      <charset val="238"/>
      <scheme val="minor"/>
    </font>
    <font>
      <u/>
      <sz val="10"/>
      <color theme="1"/>
      <name val="Calibri"/>
      <family val="2"/>
      <charset val="238"/>
      <scheme val="minor"/>
    </font>
    <font>
      <b/>
      <sz val="10"/>
      <name val="Calibri"/>
      <family val="2"/>
      <charset val="238"/>
      <scheme val="minor"/>
    </font>
    <font>
      <b/>
      <sz val="10"/>
      <color theme="1"/>
      <name val="Calibri"/>
      <family val="2"/>
      <charset val="238"/>
      <scheme val="minor"/>
    </font>
    <font>
      <sz val="11"/>
      <color indexed="8"/>
      <name val="Calibri"/>
      <family val="2"/>
      <charset val="238"/>
    </font>
    <font>
      <b/>
      <sz val="10"/>
      <color rgb="FFFF0000"/>
      <name val="Calibri"/>
      <family val="2"/>
      <charset val="238"/>
      <scheme val="minor"/>
    </font>
    <font>
      <sz val="8"/>
      <name val="Calibri"/>
      <family val="2"/>
      <charset val="238"/>
      <scheme val="minor"/>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
      <sz val="10"/>
      <color indexed="8"/>
      <name val="Calibri"/>
      <family val="2"/>
      <charset val="238"/>
    </font>
    <font>
      <sz val="10"/>
      <name val="Calibri"/>
      <family val="2"/>
      <charset val="238"/>
    </font>
    <font>
      <sz val="11"/>
      <name val="Calibri"/>
      <family val="2"/>
      <charset val="238"/>
      <scheme val="minor"/>
    </font>
    <font>
      <b/>
      <sz val="20"/>
      <color indexed="8"/>
      <name val="Calibri"/>
      <family val="2"/>
      <charset val="238"/>
    </font>
    <font>
      <sz val="9"/>
      <color theme="1"/>
      <name val="Calibri"/>
      <family val="2"/>
      <charset val="238"/>
      <scheme val="minor"/>
    </font>
    <font>
      <sz val="8"/>
      <color theme="1"/>
      <name val="Calibri"/>
      <family val="2"/>
      <charset val="238"/>
      <scheme val="minor"/>
    </font>
    <font>
      <b/>
      <sz val="10"/>
      <color rgb="FFFF0000"/>
      <name val="Calibri"/>
      <family val="2"/>
      <charset val="238"/>
    </font>
    <font>
      <b/>
      <sz val="10"/>
      <name val="Calibri"/>
      <family val="2"/>
      <charset val="238"/>
    </font>
    <font>
      <b/>
      <sz val="11"/>
      <color theme="1"/>
      <name val="Calibri"/>
      <family val="2"/>
      <charset val="238"/>
      <scheme val="minor"/>
    </font>
    <font>
      <b/>
      <sz val="12"/>
      <color theme="1"/>
      <name val="Calibri"/>
      <family val="2"/>
      <charset val="238"/>
      <scheme val="minor"/>
    </font>
    <font>
      <sz val="11"/>
      <color rgb="FF00B0F0"/>
      <name val="Calibri"/>
      <family val="2"/>
      <charset val="238"/>
      <scheme val="minor"/>
    </font>
    <font>
      <b/>
      <sz val="10"/>
      <color rgb="FF00B0F0"/>
      <name val="Calibri"/>
      <family val="2"/>
      <charset val="238"/>
      <scheme val="minor"/>
    </font>
    <font>
      <sz val="10"/>
      <color rgb="FF00B0F0"/>
      <name val="Calibri"/>
      <family val="2"/>
      <charset val="238"/>
      <scheme val="minor"/>
    </font>
    <font>
      <sz val="11"/>
      <color rgb="FF00B0F0"/>
      <name val="Arial"/>
      <family val="2"/>
      <charset val="238"/>
    </font>
    <font>
      <b/>
      <sz val="11"/>
      <color rgb="FF00B0F0"/>
      <name val="Arial"/>
      <family val="2"/>
      <charset val="238"/>
    </font>
    <font>
      <b/>
      <sz val="10"/>
      <color indexed="8"/>
      <name val="Calibri"/>
      <family val="2"/>
      <charset val="238"/>
    </font>
    <font>
      <sz val="10"/>
      <color theme="1"/>
      <name val="Arial"/>
      <family val="2"/>
      <charset val="238"/>
    </font>
    <font>
      <sz val="10"/>
      <color theme="1"/>
      <name val="Calibri"/>
      <family val="2"/>
      <charset val="238"/>
    </font>
    <font>
      <sz val="10"/>
      <color theme="1"/>
      <name val="Arial Narrow"/>
      <family val="2"/>
      <charset val="238"/>
    </font>
    <font>
      <b/>
      <sz val="10"/>
      <color theme="1"/>
      <name val="Calibri"/>
      <family val="2"/>
      <charset val="238"/>
    </font>
    <font>
      <i/>
      <sz val="11"/>
      <color theme="1"/>
      <name val="Calibri"/>
      <family val="2"/>
      <charset val="238"/>
      <scheme val="minor"/>
    </font>
  </fonts>
  <fills count="4">
    <fill>
      <patternFill patternType="none"/>
    </fill>
    <fill>
      <patternFill patternType="gray125"/>
    </fill>
    <fill>
      <patternFill patternType="solid">
        <fgColor indexed="18"/>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6">
    <xf numFmtId="0" fontId="0" fillId="0" borderId="0"/>
    <xf numFmtId="3" fontId="2" fillId="2" borderId="3" applyFill="0" applyBorder="0" applyProtection="0">
      <alignment horizontal="right"/>
    </xf>
    <xf numFmtId="49" fontId="2" fillId="2" borderId="3" applyFill="0" applyBorder="0" applyProtection="0">
      <alignment horizontal="left" wrapText="1"/>
    </xf>
    <xf numFmtId="0" fontId="10" fillId="0" borderId="0"/>
    <xf numFmtId="0" fontId="3" fillId="0" borderId="0"/>
    <xf numFmtId="0" fontId="3" fillId="0" borderId="0"/>
  </cellStyleXfs>
  <cellXfs count="169">
    <xf numFmtId="0" fontId="0" fillId="0" borderId="0" xfId="0"/>
    <xf numFmtId="0" fontId="0" fillId="0" borderId="0" xfId="0"/>
    <xf numFmtId="0" fontId="0" fillId="0" borderId="0" xfId="0" applyAlignment="1">
      <alignment vertical="top"/>
    </xf>
    <xf numFmtId="0" fontId="4" fillId="0" borderId="6" xfId="0" applyFont="1" applyBorder="1" applyAlignment="1">
      <alignment horizontal="left" vertical="top" wrapText="1"/>
    </xf>
    <xf numFmtId="0" fontId="4" fillId="0" borderId="0" xfId="0" applyFont="1"/>
    <xf numFmtId="0" fontId="9" fillId="0" borderId="5" xfId="0" applyFont="1" applyBorder="1" applyAlignment="1">
      <alignment horizontal="center" vertical="center" wrapText="1"/>
    </xf>
    <xf numFmtId="0" fontId="1" fillId="0" borderId="0" xfId="0" applyFont="1" applyAlignment="1">
      <alignment vertical="top" wrapText="1"/>
    </xf>
    <xf numFmtId="0" fontId="4" fillId="0" borderId="0" xfId="0" applyFont="1" applyAlignment="1">
      <alignment wrapText="1"/>
    </xf>
    <xf numFmtId="0" fontId="4" fillId="0" borderId="0" xfId="0" applyFont="1" applyAlignment="1">
      <alignment horizontal="center" wrapText="1"/>
    </xf>
    <xf numFmtId="0" fontId="0" fillId="0" borderId="0" xfId="0" applyFont="1" applyAlignment="1">
      <alignment wrapText="1"/>
    </xf>
    <xf numFmtId="4" fontId="4" fillId="0" borderId="2" xfId="0" applyNumberFormat="1" applyFont="1" applyFill="1" applyBorder="1" applyAlignment="1">
      <alignment horizontal="right" vertical="top" wrapText="1"/>
    </xf>
    <xf numFmtId="1" fontId="6" fillId="0" borderId="2" xfId="2" applyNumberFormat="1" applyFont="1" applyFill="1" applyBorder="1" applyAlignment="1">
      <alignment horizontal="center" vertical="top" wrapText="1"/>
    </xf>
    <xf numFmtId="0" fontId="4" fillId="0" borderId="0" xfId="0" applyFont="1" applyAlignment="1">
      <alignment horizontal="center"/>
    </xf>
    <xf numFmtId="0" fontId="4" fillId="0" borderId="2" xfId="0" applyFont="1" applyFill="1" applyBorder="1" applyAlignment="1">
      <alignment horizontal="center" vertical="top"/>
    </xf>
    <xf numFmtId="0" fontId="6" fillId="0" borderId="6" xfId="0" applyFont="1" applyBorder="1" applyAlignment="1">
      <alignment horizontal="center" vertical="center"/>
    </xf>
    <xf numFmtId="0" fontId="6" fillId="0" borderId="2" xfId="3" applyFont="1" applyBorder="1" applyAlignment="1">
      <alignment horizontal="center" vertical="top" wrapText="1"/>
    </xf>
    <xf numFmtId="49" fontId="5" fillId="0" borderId="2" xfId="2" applyFont="1" applyFill="1" applyBorder="1" applyAlignment="1" applyProtection="1">
      <alignment horizontal="center" vertical="top" wrapText="1"/>
      <protection locked="0"/>
    </xf>
    <xf numFmtId="0" fontId="4" fillId="0" borderId="6" xfId="0" applyFont="1" applyFill="1" applyBorder="1" applyAlignment="1">
      <alignment vertical="top"/>
    </xf>
    <xf numFmtId="0" fontId="10" fillId="0" borderId="2" xfId="4" applyFont="1" applyBorder="1" applyAlignment="1">
      <alignment horizontal="left" vertical="center"/>
    </xf>
    <xf numFmtId="0" fontId="3" fillId="0" borderId="2" xfId="4" applyBorder="1" applyAlignment="1">
      <alignment vertical="center"/>
    </xf>
    <xf numFmtId="4" fontId="13" fillId="0" borderId="4" xfId="4" applyNumberFormat="1" applyFont="1" applyBorder="1" applyAlignment="1">
      <alignment vertical="center"/>
    </xf>
    <xf numFmtId="0" fontId="14" fillId="0" borderId="2" xfId="4" applyFont="1" applyBorder="1" applyAlignment="1">
      <alignment horizontal="left" vertical="center"/>
    </xf>
    <xf numFmtId="0" fontId="15" fillId="0" borderId="9" xfId="4" applyFont="1" applyBorder="1" applyAlignment="1">
      <alignment horizontal="left" vertical="center"/>
    </xf>
    <xf numFmtId="0" fontId="3" fillId="0" borderId="9" xfId="4" applyBorder="1" applyAlignment="1">
      <alignment vertical="center"/>
    </xf>
    <xf numFmtId="4" fontId="16" fillId="0" borderId="10" xfId="4" applyNumberFormat="1" applyFont="1" applyBorder="1" applyAlignment="1">
      <alignment vertical="center"/>
    </xf>
    <xf numFmtId="0" fontId="6" fillId="0" borderId="0" xfId="0" applyFont="1" applyFill="1" applyAlignment="1">
      <alignment vertical="center"/>
    </xf>
    <xf numFmtId="0" fontId="4" fillId="0" borderId="2" xfId="0" applyFont="1" applyBorder="1" applyAlignment="1">
      <alignment horizontal="left" vertical="top" wrapText="1"/>
    </xf>
    <xf numFmtId="0" fontId="0" fillId="0" borderId="0" xfId="0" applyFill="1" applyAlignment="1">
      <alignment vertical="top"/>
    </xf>
    <xf numFmtId="0" fontId="4" fillId="0" borderId="6" xfId="0" applyFont="1" applyFill="1" applyBorder="1" applyAlignment="1">
      <alignment horizontal="center" vertical="top" wrapText="1"/>
    </xf>
    <xf numFmtId="4" fontId="4" fillId="0" borderId="6" xfId="0" applyNumberFormat="1" applyFont="1" applyFill="1" applyBorder="1" applyAlignment="1">
      <alignment horizontal="right" vertical="top" wrapText="1"/>
    </xf>
    <xf numFmtId="0" fontId="4" fillId="0" borderId="6" xfId="0" applyFont="1" applyBorder="1" applyAlignment="1">
      <alignment vertical="top" wrapText="1"/>
    </xf>
    <xf numFmtId="0" fontId="6" fillId="0" borderId="6" xfId="0" applyFont="1" applyFill="1" applyBorder="1" applyAlignment="1">
      <alignment horizontal="center" vertical="top" wrapText="1"/>
    </xf>
    <xf numFmtId="0" fontId="4" fillId="0" borderId="6" xfId="0" applyFont="1" applyBorder="1" applyAlignment="1">
      <alignment horizontal="center" wrapText="1"/>
    </xf>
    <xf numFmtId="0" fontId="6" fillId="0" borderId="6" xfId="3" applyFont="1" applyBorder="1" applyAlignment="1">
      <alignment horizontal="center" vertical="top" wrapText="1"/>
    </xf>
    <xf numFmtId="49" fontId="6" fillId="0" borderId="6" xfId="2" applyFont="1" applyFill="1" applyBorder="1" applyAlignment="1" applyProtection="1">
      <alignment horizontal="center" vertical="top" wrapText="1"/>
      <protection locked="0"/>
    </xf>
    <xf numFmtId="1" fontId="6" fillId="0" borderId="6" xfId="2" applyNumberFormat="1" applyFont="1" applyFill="1" applyBorder="1" applyAlignment="1">
      <alignment horizontal="center" vertical="top" wrapText="1"/>
    </xf>
    <xf numFmtId="0" fontId="6" fillId="0" borderId="6" xfId="0" applyFont="1" applyFill="1" applyBorder="1" applyAlignment="1">
      <alignment horizontal="center" vertical="center"/>
    </xf>
    <xf numFmtId="0" fontId="3" fillId="0" borderId="12" xfId="0" applyFont="1" applyBorder="1" applyAlignment="1">
      <alignment horizontal="left" wrapText="1"/>
    </xf>
    <xf numFmtId="0" fontId="11" fillId="0" borderId="6" xfId="0" applyFont="1" applyFill="1" applyBorder="1" applyAlignment="1">
      <alignment horizontal="center" vertical="center"/>
    </xf>
    <xf numFmtId="0" fontId="4" fillId="0" borderId="6" xfId="0" applyFont="1" applyFill="1" applyBorder="1" applyAlignment="1">
      <alignment horizontal="left" vertical="top" wrapText="1"/>
    </xf>
    <xf numFmtId="4" fontId="17" fillId="0" borderId="13" xfId="0" applyNumberFormat="1" applyFont="1" applyBorder="1" applyAlignment="1">
      <alignment horizontal="right" vertical="top" wrapText="1"/>
    </xf>
    <xf numFmtId="0" fontId="17" fillId="0" borderId="6" xfId="0" applyFont="1" applyBorder="1" applyAlignment="1">
      <alignment horizontal="center" vertical="top"/>
    </xf>
    <xf numFmtId="0" fontId="17" fillId="0" borderId="6" xfId="0" applyFont="1" applyBorder="1" applyAlignment="1">
      <alignment vertical="top"/>
    </xf>
    <xf numFmtId="0" fontId="17" fillId="0" borderId="6" xfId="0" applyFont="1" applyBorder="1" applyAlignment="1">
      <alignment horizontal="center" vertical="top" wrapText="1"/>
    </xf>
    <xf numFmtId="0" fontId="15" fillId="0" borderId="6" xfId="0" applyFont="1" applyBorder="1" applyAlignment="1">
      <alignment horizontal="center" vertical="center" wrapText="1"/>
    </xf>
    <xf numFmtId="0" fontId="15" fillId="0" borderId="14" xfId="0" applyFont="1" applyBorder="1" applyAlignment="1">
      <alignment horizontal="center" vertical="center" wrapText="1"/>
    </xf>
    <xf numFmtId="4" fontId="4" fillId="0" borderId="14" xfId="0" applyNumberFormat="1" applyFont="1" applyFill="1" applyBorder="1" applyAlignment="1">
      <alignment horizontal="right" vertical="top" wrapText="1"/>
    </xf>
    <xf numFmtId="0" fontId="9" fillId="0" borderId="16" xfId="0" applyFont="1" applyBorder="1" applyAlignment="1">
      <alignment horizontal="center" vertical="center" wrapText="1"/>
    </xf>
    <xf numFmtId="0" fontId="9" fillId="0" borderId="5" xfId="0" applyFont="1" applyBorder="1" applyAlignment="1">
      <alignment horizontal="center" vertical="top" wrapText="1"/>
    </xf>
    <xf numFmtId="0" fontId="8" fillId="0" borderId="5" xfId="0" applyFont="1" applyBorder="1" applyAlignment="1">
      <alignment horizontal="center" vertical="top"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5" fillId="0" borderId="6" xfId="0" applyFont="1" applyFill="1" applyBorder="1" applyAlignment="1">
      <alignment vertical="top" wrapText="1"/>
    </xf>
    <xf numFmtId="0" fontId="6" fillId="0" borderId="2" xfId="0" applyFont="1" applyFill="1" applyBorder="1" applyAlignment="1">
      <alignment horizontal="center" vertical="top"/>
    </xf>
    <xf numFmtId="0" fontId="6" fillId="0" borderId="6" xfId="0" applyFont="1" applyFill="1" applyBorder="1" applyAlignment="1">
      <alignment vertical="top"/>
    </xf>
    <xf numFmtId="0" fontId="19" fillId="0" borderId="0" xfId="0" applyFont="1" applyFill="1" applyAlignment="1">
      <alignment vertical="top"/>
    </xf>
    <xf numFmtId="0" fontId="20" fillId="0" borderId="6" xfId="0" applyFont="1" applyBorder="1" applyAlignment="1">
      <alignment horizontal="center" vertical="center"/>
    </xf>
    <xf numFmtId="4" fontId="0" fillId="0" borderId="0" xfId="0" applyNumberFormat="1" applyFont="1" applyAlignment="1">
      <alignment wrapText="1"/>
    </xf>
    <xf numFmtId="0" fontId="21" fillId="0" borderId="6" xfId="0" applyFont="1" applyFill="1" applyBorder="1" applyAlignment="1">
      <alignment wrapText="1"/>
    </xf>
    <xf numFmtId="0" fontId="22" fillId="0" borderId="6" xfId="0" applyFont="1" applyBorder="1" applyAlignment="1">
      <alignment horizontal="right" vertical="top"/>
    </xf>
    <xf numFmtId="0" fontId="19" fillId="0" borderId="6" xfId="0" applyFont="1" applyFill="1" applyBorder="1" applyAlignment="1">
      <alignment horizontal="center"/>
    </xf>
    <xf numFmtId="0" fontId="5" fillId="0" borderId="6" xfId="0" applyFont="1" applyFill="1" applyBorder="1" applyAlignment="1">
      <alignment horizontal="center" vertical="top" wrapText="1"/>
    </xf>
    <xf numFmtId="0" fontId="4" fillId="0" borderId="15" xfId="0" applyFont="1" applyBorder="1" applyAlignment="1">
      <alignment horizontal="center" wrapText="1"/>
    </xf>
    <xf numFmtId="0" fontId="17" fillId="0" borderId="2" xfId="0" applyFont="1" applyBorder="1" applyAlignment="1">
      <alignment vertical="top"/>
    </xf>
    <xf numFmtId="0" fontId="17" fillId="0" borderId="2" xfId="0" applyFont="1" applyBorder="1" applyAlignment="1">
      <alignment horizontal="center" vertical="top" wrapText="1"/>
    </xf>
    <xf numFmtId="0" fontId="4" fillId="0" borderId="6" xfId="0" applyFont="1" applyFill="1" applyBorder="1" applyAlignment="1">
      <alignment vertical="top" wrapText="1"/>
    </xf>
    <xf numFmtId="0" fontId="0" fillId="0" borderId="6" xfId="0" applyFill="1" applyBorder="1"/>
    <xf numFmtId="0" fontId="4" fillId="0" borderId="14" xfId="0" applyFont="1" applyFill="1" applyBorder="1" applyAlignment="1">
      <alignment horizontal="center" vertical="top" wrapText="1"/>
    </xf>
    <xf numFmtId="0" fontId="0" fillId="0" borderId="6" xfId="0" applyFont="1" applyFill="1" applyBorder="1" applyAlignment="1">
      <alignment horizontal="center"/>
    </xf>
    <xf numFmtId="0" fontId="4" fillId="0" borderId="1" xfId="0" applyFont="1" applyFill="1" applyBorder="1" applyAlignment="1">
      <alignment horizontal="center" vertical="top"/>
    </xf>
    <xf numFmtId="0" fontId="5" fillId="0" borderId="14" xfId="0" applyFont="1" applyFill="1" applyBorder="1" applyAlignment="1">
      <alignment vertical="top" wrapText="1"/>
    </xf>
    <xf numFmtId="0" fontId="0" fillId="0" borderId="13" xfId="0" applyFill="1" applyBorder="1"/>
    <xf numFmtId="0" fontId="6" fillId="0" borderId="6" xfId="0" applyFont="1" applyBorder="1" applyAlignment="1">
      <alignment horizontal="center" vertical="top" wrapText="1"/>
    </xf>
    <xf numFmtId="0" fontId="17" fillId="0" borderId="14" xfId="0" applyFont="1" applyBorder="1" applyAlignment="1">
      <alignment horizontal="center" vertical="top" wrapText="1"/>
    </xf>
    <xf numFmtId="0" fontId="17" fillId="0" borderId="6" xfId="0" applyFont="1" applyFill="1" applyBorder="1" applyAlignment="1">
      <alignment horizontal="center" vertical="top"/>
    </xf>
    <xf numFmtId="4" fontId="4" fillId="0" borderId="6" xfId="0" applyNumberFormat="1" applyFont="1" applyFill="1" applyBorder="1" applyAlignment="1">
      <alignment horizontal="right" vertical="top" wrapText="1"/>
    </xf>
    <xf numFmtId="0" fontId="23" fillId="0" borderId="6" xfId="0" applyFont="1" applyBorder="1" applyAlignment="1">
      <alignment horizontal="center" vertical="top" wrapText="1"/>
    </xf>
    <xf numFmtId="0" fontId="17" fillId="0" borderId="14" xfId="0" applyFont="1" applyBorder="1" applyAlignment="1">
      <alignment horizontal="center" vertical="top"/>
    </xf>
    <xf numFmtId="0" fontId="4" fillId="0" borderId="0" xfId="0" applyFont="1" applyAlignment="1">
      <alignment horizontal="left"/>
    </xf>
    <xf numFmtId="0" fontId="25" fillId="0" borderId="19" xfId="0" applyFont="1" applyBorder="1"/>
    <xf numFmtId="0" fontId="26" fillId="0" borderId="20" xfId="0" applyFont="1" applyBorder="1"/>
    <xf numFmtId="0" fontId="0" fillId="0" borderId="21" xfId="0" applyBorder="1"/>
    <xf numFmtId="0" fontId="0" fillId="0" borderId="6" xfId="0" applyBorder="1"/>
    <xf numFmtId="0" fontId="6" fillId="0" borderId="0" xfId="0" applyFont="1" applyAlignment="1">
      <alignment horizontal="center" wrapText="1"/>
    </xf>
    <xf numFmtId="0" fontId="6" fillId="0" borderId="14" xfId="0" applyFont="1" applyFill="1" applyBorder="1" applyAlignment="1">
      <alignment horizontal="center" vertical="top" wrapText="1"/>
    </xf>
    <xf numFmtId="0" fontId="6" fillId="0" borderId="15" xfId="0" applyFont="1" applyBorder="1" applyAlignment="1">
      <alignment horizontal="center" vertical="top" wrapText="1"/>
    </xf>
    <xf numFmtId="0" fontId="18" fillId="0" borderId="6" xfId="0" applyFont="1" applyBorder="1" applyAlignment="1">
      <alignment horizontal="center" vertical="top" wrapText="1"/>
    </xf>
    <xf numFmtId="0" fontId="24" fillId="0" borderId="6" xfId="0" applyFont="1" applyBorder="1" applyAlignment="1">
      <alignment horizontal="center" vertical="top" wrapText="1"/>
    </xf>
    <xf numFmtId="0" fontId="6" fillId="0" borderId="0" xfId="0" applyFont="1" applyFill="1" applyAlignment="1">
      <alignment horizontal="center" wrapText="1"/>
    </xf>
    <xf numFmtId="0" fontId="3" fillId="0" borderId="2" xfId="4" applyFont="1" applyBorder="1" applyAlignment="1">
      <alignment vertical="center"/>
    </xf>
    <xf numFmtId="0" fontId="3" fillId="0" borderId="9" xfId="4" applyFont="1" applyBorder="1" applyAlignment="1">
      <alignment vertical="center"/>
    </xf>
    <xf numFmtId="4" fontId="4" fillId="0" borderId="0" xfId="0" applyNumberFormat="1" applyFont="1" applyFill="1" applyBorder="1" applyAlignment="1">
      <alignment horizontal="right" vertical="top" wrapText="1"/>
    </xf>
    <xf numFmtId="0" fontId="0" fillId="0" borderId="0" xfId="0"/>
    <xf numFmtId="0" fontId="4" fillId="0" borderId="0" xfId="0" applyFont="1"/>
    <xf numFmtId="0" fontId="1" fillId="0" borderId="0" xfId="0" applyFont="1" applyAlignment="1">
      <alignment vertical="top" wrapText="1"/>
    </xf>
    <xf numFmtId="0" fontId="4" fillId="0" borderId="0" xfId="0" applyFont="1" applyAlignment="1">
      <alignment wrapText="1"/>
    </xf>
    <xf numFmtId="4" fontId="4" fillId="0" borderId="2" xfId="0" applyNumberFormat="1" applyFont="1" applyFill="1" applyBorder="1" applyAlignment="1">
      <alignment horizontal="right" vertical="top" wrapText="1"/>
    </xf>
    <xf numFmtId="0" fontId="10" fillId="0" borderId="7" xfId="4" applyFont="1" applyBorder="1" applyAlignment="1">
      <alignment horizontal="left" vertical="center"/>
    </xf>
    <xf numFmtId="0" fontId="10" fillId="0" borderId="2" xfId="4" applyFont="1" applyBorder="1" applyAlignment="1">
      <alignment horizontal="left" vertical="center"/>
    </xf>
    <xf numFmtId="0" fontId="3" fillId="0" borderId="2" xfId="4" applyBorder="1" applyAlignment="1">
      <alignment vertical="center"/>
    </xf>
    <xf numFmtId="4" fontId="13" fillId="0" borderId="4" xfId="4" applyNumberFormat="1" applyFont="1" applyBorder="1" applyAlignment="1">
      <alignment vertical="center"/>
    </xf>
    <xf numFmtId="0" fontId="15" fillId="0" borderId="8" xfId="4" applyFont="1" applyBorder="1" applyAlignment="1">
      <alignment horizontal="left" vertical="center"/>
    </xf>
    <xf numFmtId="0" fontId="4" fillId="0" borderId="0" xfId="0" applyFont="1" applyFill="1" applyAlignment="1">
      <alignment horizontal="center" wrapText="1"/>
    </xf>
    <xf numFmtId="0" fontId="27" fillId="0" borderId="0" xfId="0" applyFont="1" applyAlignment="1">
      <alignment wrapText="1"/>
    </xf>
    <xf numFmtId="0" fontId="28" fillId="0" borderId="5" xfId="0" applyFont="1" applyBorder="1" applyAlignment="1">
      <alignment horizontal="center" vertical="center" wrapText="1"/>
    </xf>
    <xf numFmtId="0" fontId="28" fillId="0" borderId="18" xfId="0" applyFont="1" applyBorder="1" applyAlignment="1">
      <alignment horizontal="center" vertical="center" wrapText="1"/>
    </xf>
    <xf numFmtId="4" fontId="29" fillId="0" borderId="14" xfId="0" applyNumberFormat="1" applyFont="1" applyFill="1" applyBorder="1" applyAlignment="1">
      <alignment horizontal="right" vertical="top" wrapText="1"/>
    </xf>
    <xf numFmtId="4" fontId="29" fillId="0" borderId="0" xfId="0" applyNumberFormat="1" applyFont="1" applyFill="1" applyBorder="1" applyAlignment="1">
      <alignment horizontal="right" vertical="top" wrapText="1"/>
    </xf>
    <xf numFmtId="4" fontId="30" fillId="0" borderId="0" xfId="4" applyNumberFormat="1" applyFont="1" applyBorder="1" applyAlignment="1">
      <alignment vertical="center"/>
    </xf>
    <xf numFmtId="4" fontId="31" fillId="0" borderId="0" xfId="4" applyNumberFormat="1" applyFont="1" applyBorder="1" applyAlignment="1">
      <alignment vertical="center"/>
    </xf>
    <xf numFmtId="4" fontId="27" fillId="0" borderId="0" xfId="0" applyNumberFormat="1" applyFont="1" applyAlignment="1">
      <alignment wrapText="1"/>
    </xf>
    <xf numFmtId="0" fontId="6" fillId="0" borderId="0" xfId="3" applyFont="1" applyBorder="1" applyAlignment="1">
      <alignment horizontal="center" vertical="top" wrapText="1"/>
    </xf>
    <xf numFmtId="0" fontId="4" fillId="0" borderId="0" xfId="0" applyFont="1" applyBorder="1" applyAlignment="1">
      <alignment horizontal="left" vertical="top" wrapText="1"/>
    </xf>
    <xf numFmtId="49" fontId="5" fillId="0" borderId="0" xfId="2" applyFont="1" applyFill="1" applyBorder="1" applyAlignment="1" applyProtection="1">
      <alignment horizontal="center" vertical="top" wrapText="1"/>
      <protection locked="0"/>
    </xf>
    <xf numFmtId="1" fontId="6" fillId="0" borderId="0" xfId="2" applyNumberFormat="1" applyFont="1" applyFill="1" applyBorder="1" applyAlignment="1">
      <alignment horizontal="center" vertical="top" wrapText="1"/>
    </xf>
    <xf numFmtId="0" fontId="17" fillId="0" borderId="11" xfId="4" applyFont="1" applyBorder="1" applyAlignment="1">
      <alignment horizontal="left" vertical="center"/>
    </xf>
    <xf numFmtId="0" fontId="17" fillId="0" borderId="0" xfId="4" applyFont="1" applyAlignment="1">
      <alignment horizontal="left" vertical="center"/>
    </xf>
    <xf numFmtId="0" fontId="3" fillId="0" borderId="0" xfId="4" applyFont="1" applyAlignment="1">
      <alignment vertical="center"/>
    </xf>
    <xf numFmtId="4" fontId="4" fillId="3" borderId="14" xfId="0" applyNumberFormat="1" applyFont="1" applyFill="1" applyBorder="1" applyAlignment="1">
      <alignment horizontal="right" vertical="top" wrapText="1"/>
    </xf>
    <xf numFmtId="4" fontId="4" fillId="3" borderId="6" xfId="0" applyNumberFormat="1" applyFont="1" applyFill="1" applyBorder="1" applyAlignment="1">
      <alignment horizontal="right" vertical="top" wrapText="1"/>
    </xf>
    <xf numFmtId="4" fontId="4" fillId="0" borderId="22" xfId="0" applyNumberFormat="1" applyFont="1" applyFill="1" applyBorder="1" applyAlignment="1">
      <alignment horizontal="right" vertical="top" wrapText="1"/>
    </xf>
    <xf numFmtId="4" fontId="3" fillId="0" borderId="0" xfId="4" applyNumberFormat="1" applyFont="1" applyBorder="1" applyAlignment="1">
      <alignment vertical="center"/>
    </xf>
    <xf numFmtId="0" fontId="17" fillId="0" borderId="2" xfId="4" applyFont="1" applyBorder="1" applyAlignment="1">
      <alignment horizontal="left" vertical="center"/>
    </xf>
    <xf numFmtId="4" fontId="6" fillId="0" borderId="2" xfId="0" applyNumberFormat="1" applyFont="1" applyFill="1" applyBorder="1" applyAlignment="1">
      <alignment horizontal="right" vertical="top" wrapText="1"/>
    </xf>
    <xf numFmtId="4" fontId="6" fillId="3" borderId="2" xfId="0" applyNumberFormat="1" applyFont="1" applyFill="1" applyBorder="1" applyAlignment="1">
      <alignment horizontal="right" vertical="top" wrapText="1"/>
    </xf>
    <xf numFmtId="0" fontId="32" fillId="0" borderId="2" xfId="4" applyFont="1" applyBorder="1" applyAlignment="1">
      <alignment horizontal="left" vertical="center"/>
    </xf>
    <xf numFmtId="4" fontId="8" fillId="0" borderId="2" xfId="4" applyNumberFormat="1" applyFont="1" applyBorder="1" applyAlignment="1">
      <alignment vertical="center"/>
    </xf>
    <xf numFmtId="0" fontId="6" fillId="0" borderId="2" xfId="4" applyFont="1" applyBorder="1" applyAlignment="1">
      <alignment vertical="center"/>
    </xf>
    <xf numFmtId="0" fontId="4" fillId="0" borderId="2" xfId="0" applyFont="1" applyFill="1" applyBorder="1" applyAlignment="1">
      <alignment horizontal="center" wrapText="1"/>
    </xf>
    <xf numFmtId="0" fontId="6" fillId="0" borderId="2" xfId="0" applyFont="1" applyFill="1" applyBorder="1" applyAlignment="1">
      <alignment horizontal="center" wrapText="1"/>
    </xf>
    <xf numFmtId="0" fontId="0" fillId="0" borderId="2" xfId="0" applyFont="1" applyBorder="1" applyAlignment="1">
      <alignment wrapText="1"/>
    </xf>
    <xf numFmtId="0" fontId="0" fillId="0" borderId="2" xfId="0" applyBorder="1"/>
    <xf numFmtId="0" fontId="4" fillId="3" borderId="0" xfId="0" applyFont="1" applyFill="1" applyAlignment="1"/>
    <xf numFmtId="4" fontId="3" fillId="3" borderId="0" xfId="4" applyNumberFormat="1" applyFont="1" applyFill="1" applyBorder="1" applyAlignment="1">
      <alignment vertical="center"/>
    </xf>
    <xf numFmtId="4" fontId="4" fillId="3" borderId="0" xfId="0" applyNumberFormat="1" applyFont="1" applyFill="1" applyBorder="1" applyAlignment="1">
      <alignment horizontal="right" vertical="top" wrapText="1"/>
    </xf>
    <xf numFmtId="0" fontId="0" fillId="3" borderId="6" xfId="0" applyFill="1" applyBorder="1" applyAlignment="1">
      <alignment vertical="top"/>
    </xf>
    <xf numFmtId="0" fontId="1" fillId="3" borderId="6" xfId="0" applyFont="1" applyFill="1" applyBorder="1" applyAlignment="1">
      <alignment vertical="top" wrapText="1"/>
    </xf>
    <xf numFmtId="0" fontId="0" fillId="3" borderId="6" xfId="0" applyFill="1" applyBorder="1"/>
    <xf numFmtId="0" fontId="25" fillId="0" borderId="20" xfId="0" applyFont="1" applyBorder="1"/>
    <xf numFmtId="0" fontId="5" fillId="0" borderId="0" xfId="0" applyFont="1"/>
    <xf numFmtId="4" fontId="4" fillId="0" borderId="15" xfId="0" applyNumberFormat="1" applyFont="1" applyFill="1" applyBorder="1" applyAlignment="1">
      <alignment horizontal="right" vertical="top" wrapText="1"/>
    </xf>
    <xf numFmtId="4" fontId="4" fillId="0" borderId="14" xfId="0" applyNumberFormat="1" applyFont="1" applyFill="1" applyBorder="1" applyAlignment="1">
      <alignment horizontal="right" vertical="top" wrapText="1"/>
    </xf>
    <xf numFmtId="0" fontId="17" fillId="0" borderId="15" xfId="0" applyFont="1" applyBorder="1" applyAlignment="1">
      <alignment horizontal="center" vertical="top" wrapText="1"/>
    </xf>
    <xf numFmtId="0" fontId="17" fillId="0" borderId="14" xfId="0" applyFont="1" applyBorder="1" applyAlignment="1">
      <alignment horizontal="center" vertical="top" wrapText="1"/>
    </xf>
    <xf numFmtId="4" fontId="17" fillId="0" borderId="15" xfId="0" applyNumberFormat="1" applyFont="1" applyBorder="1" applyAlignment="1">
      <alignment horizontal="center" vertical="top" wrapText="1"/>
    </xf>
    <xf numFmtId="4" fontId="17" fillId="0" borderId="14" xfId="0" applyNumberFormat="1" applyFont="1" applyBorder="1" applyAlignment="1">
      <alignment horizontal="center" vertical="top" wrapText="1"/>
    </xf>
    <xf numFmtId="4" fontId="4" fillId="3" borderId="15" xfId="0" applyNumberFormat="1" applyFont="1" applyFill="1" applyBorder="1" applyAlignment="1">
      <alignment horizontal="right" vertical="top" wrapText="1"/>
    </xf>
    <xf numFmtId="4" fontId="4" fillId="3" borderId="14" xfId="0" applyNumberFormat="1" applyFont="1" applyFill="1" applyBorder="1" applyAlignment="1">
      <alignment horizontal="right" vertical="top" wrapText="1"/>
    </xf>
    <xf numFmtId="0" fontId="17" fillId="0" borderId="15" xfId="0" applyFont="1" applyBorder="1" applyAlignment="1">
      <alignment horizontal="center" vertical="top"/>
    </xf>
    <xf numFmtId="0" fontId="17" fillId="0" borderId="14" xfId="0" applyFont="1" applyBorder="1" applyAlignment="1">
      <alignment horizontal="center" vertical="top"/>
    </xf>
    <xf numFmtId="4" fontId="4" fillId="3" borderId="15" xfId="0" applyNumberFormat="1" applyFont="1" applyFill="1" applyBorder="1" applyAlignment="1">
      <alignment horizontal="center" vertical="top" wrapText="1"/>
    </xf>
    <xf numFmtId="4" fontId="4" fillId="3" borderId="14" xfId="0" applyNumberFormat="1" applyFont="1" applyFill="1" applyBorder="1" applyAlignment="1">
      <alignment horizontal="center" vertical="top" wrapText="1"/>
    </xf>
    <xf numFmtId="0" fontId="18" fillId="0" borderId="15" xfId="0" applyFont="1" applyBorder="1" applyAlignment="1">
      <alignment horizontal="center" vertical="top" wrapText="1"/>
    </xf>
    <xf numFmtId="0" fontId="18" fillId="0" borderId="14" xfId="0" applyFont="1" applyBorder="1" applyAlignment="1">
      <alignment horizontal="center" vertical="top" wrapText="1"/>
    </xf>
    <xf numFmtId="0" fontId="4" fillId="0" borderId="15" xfId="0" applyFont="1" applyFill="1" applyBorder="1" applyAlignment="1">
      <alignment horizontal="center" vertical="top" wrapText="1"/>
    </xf>
    <xf numFmtId="0" fontId="4" fillId="0" borderId="14"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4" xfId="0" applyFont="1" applyFill="1" applyBorder="1" applyAlignment="1">
      <alignment horizontal="center" vertical="top" wrapText="1"/>
    </xf>
    <xf numFmtId="0" fontId="33" fillId="0" borderId="0" xfId="0" applyFont="1" applyAlignment="1">
      <alignment vertical="center"/>
    </xf>
    <xf numFmtId="0" fontId="34" fillId="0" borderId="6" xfId="0" applyFont="1" applyBorder="1" applyAlignment="1">
      <alignment vertical="top" wrapText="1"/>
    </xf>
    <xf numFmtId="0" fontId="34" fillId="0" borderId="6" xfId="0" applyFont="1" applyBorder="1" applyAlignment="1">
      <alignment horizontal="left" vertical="top" wrapText="1"/>
    </xf>
    <xf numFmtId="0" fontId="34" fillId="0" borderId="15" xfId="0" applyFont="1" applyBorder="1" applyAlignment="1">
      <alignment vertical="top" wrapText="1"/>
    </xf>
    <xf numFmtId="0" fontId="34" fillId="0" borderId="14" xfId="0" applyFont="1" applyBorder="1" applyAlignment="1">
      <alignment horizontal="left" vertical="top" wrapText="1"/>
    </xf>
    <xf numFmtId="0" fontId="34" fillId="0" borderId="14" xfId="0" applyFont="1" applyBorder="1" applyAlignment="1">
      <alignment vertical="top" wrapText="1"/>
    </xf>
    <xf numFmtId="0" fontId="4" fillId="0" borderId="2" xfId="4" applyFont="1" applyBorder="1" applyAlignment="1">
      <alignment horizontal="left" vertical="center"/>
    </xf>
    <xf numFmtId="0" fontId="4" fillId="0" borderId="0" xfId="4" applyFont="1" applyAlignment="1">
      <alignment horizontal="left" vertical="center"/>
    </xf>
    <xf numFmtId="0" fontId="0" fillId="0" borderId="2" xfId="4" applyFont="1" applyBorder="1" applyAlignment="1">
      <alignment horizontal="left" vertical="center"/>
    </xf>
    <xf numFmtId="0" fontId="37" fillId="0" borderId="2" xfId="4" applyFont="1" applyBorder="1" applyAlignment="1">
      <alignment horizontal="left" vertical="center"/>
    </xf>
    <xf numFmtId="0" fontId="25" fillId="0" borderId="9" xfId="4" applyFont="1" applyBorder="1" applyAlignment="1">
      <alignment horizontal="left" vertical="center"/>
    </xf>
  </cellXfs>
  <cellStyles count="6">
    <cellStyle name="Normální" xfId="0" builtinId="0"/>
    <cellStyle name="Normální 11" xfId="5" xr:uid="{00000000-0005-0000-0000-000001000000}"/>
    <cellStyle name="Normální 4" xfId="4" xr:uid="{00000000-0005-0000-0000-000002000000}"/>
    <cellStyle name="normální_List1" xfId="3" xr:uid="{00000000-0005-0000-0000-000003000000}"/>
    <cellStyle name="Number" xfId="1" xr:uid="{00000000-0005-0000-0000-000004000000}"/>
    <cellStyle name="Text" xfId="2"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5.jpeg"/><Relationship Id="rId21" Type="http://schemas.openxmlformats.org/officeDocument/2006/relationships/image" Target="../media/image20.jpeg"/><Relationship Id="rId42" Type="http://schemas.openxmlformats.org/officeDocument/2006/relationships/image" Target="../media/image40.jpeg"/><Relationship Id="rId47" Type="http://schemas.openxmlformats.org/officeDocument/2006/relationships/image" Target="../media/image45.jpeg"/><Relationship Id="rId63" Type="http://schemas.openxmlformats.org/officeDocument/2006/relationships/image" Target="../media/image61.png"/><Relationship Id="rId68" Type="http://schemas.openxmlformats.org/officeDocument/2006/relationships/image" Target="../media/image66.jpeg"/><Relationship Id="rId84" Type="http://schemas.microsoft.com/office/2007/relationships/hdphoto" Target="../media/hdphoto4.wdp"/><Relationship Id="rId89" Type="http://schemas.openxmlformats.org/officeDocument/2006/relationships/image" Target="../media/image84.png"/><Relationship Id="rId16" Type="http://schemas.openxmlformats.org/officeDocument/2006/relationships/image" Target="../media/image16.png"/><Relationship Id="rId107" Type="http://schemas.openxmlformats.org/officeDocument/2006/relationships/image" Target="../media/image102.png"/><Relationship Id="rId11" Type="http://schemas.openxmlformats.org/officeDocument/2006/relationships/image" Target="../media/image11.png"/><Relationship Id="rId32" Type="http://schemas.openxmlformats.org/officeDocument/2006/relationships/image" Target="../media/image31.png"/><Relationship Id="rId37" Type="http://schemas.openxmlformats.org/officeDocument/2006/relationships/image" Target="../media/image35.png"/><Relationship Id="rId53" Type="http://schemas.openxmlformats.org/officeDocument/2006/relationships/image" Target="../media/image51.png"/><Relationship Id="rId58" Type="http://schemas.openxmlformats.org/officeDocument/2006/relationships/image" Target="../media/image56.png"/><Relationship Id="rId74" Type="http://schemas.openxmlformats.org/officeDocument/2006/relationships/image" Target="../media/image72.png"/><Relationship Id="rId79" Type="http://schemas.openxmlformats.org/officeDocument/2006/relationships/image" Target="../media/image76.png"/><Relationship Id="rId102" Type="http://schemas.openxmlformats.org/officeDocument/2006/relationships/image" Target="../media/image97.png"/><Relationship Id="rId5" Type="http://schemas.openxmlformats.org/officeDocument/2006/relationships/image" Target="../media/image5.jpeg"/><Relationship Id="rId90" Type="http://schemas.openxmlformats.org/officeDocument/2006/relationships/image" Target="../media/image85.png"/><Relationship Id="rId95" Type="http://schemas.openxmlformats.org/officeDocument/2006/relationships/image" Target="../media/image90.png"/><Relationship Id="rId22" Type="http://schemas.openxmlformats.org/officeDocument/2006/relationships/image" Target="../media/image21.gif"/><Relationship Id="rId27" Type="http://schemas.openxmlformats.org/officeDocument/2006/relationships/image" Target="../media/image26.png"/><Relationship Id="rId43" Type="http://schemas.openxmlformats.org/officeDocument/2006/relationships/image" Target="../media/image41.png"/><Relationship Id="rId48" Type="http://schemas.openxmlformats.org/officeDocument/2006/relationships/image" Target="../media/image46.jpeg"/><Relationship Id="rId64" Type="http://schemas.openxmlformats.org/officeDocument/2006/relationships/image" Target="../media/image62.png"/><Relationship Id="rId69" Type="http://schemas.openxmlformats.org/officeDocument/2006/relationships/image" Target="../media/image67.png"/><Relationship Id="rId80" Type="http://schemas.openxmlformats.org/officeDocument/2006/relationships/image" Target="../media/image77.jpeg"/><Relationship Id="rId85" Type="http://schemas.openxmlformats.org/officeDocument/2006/relationships/image" Target="../media/image81.png"/><Relationship Id="rId12" Type="http://schemas.openxmlformats.org/officeDocument/2006/relationships/image" Target="../media/image12.jpeg"/><Relationship Id="rId17" Type="http://schemas.microsoft.com/office/2007/relationships/hdphoto" Target="../media/hdphoto1.wdp"/><Relationship Id="rId33" Type="http://schemas.microsoft.com/office/2007/relationships/hdphoto" Target="../media/hdphoto2.wdp"/><Relationship Id="rId38" Type="http://schemas.openxmlformats.org/officeDocument/2006/relationships/image" Target="../media/image36.jpeg"/><Relationship Id="rId59" Type="http://schemas.openxmlformats.org/officeDocument/2006/relationships/image" Target="../media/image57.png"/><Relationship Id="rId103" Type="http://schemas.openxmlformats.org/officeDocument/2006/relationships/image" Target="../media/image98.png"/><Relationship Id="rId108" Type="http://schemas.microsoft.com/office/2007/relationships/hdphoto" Target="../media/hdphoto6.wdp"/><Relationship Id="rId54" Type="http://schemas.openxmlformats.org/officeDocument/2006/relationships/image" Target="../media/image52.png"/><Relationship Id="rId70" Type="http://schemas.openxmlformats.org/officeDocument/2006/relationships/image" Target="../media/image68.jpeg"/><Relationship Id="rId75" Type="http://schemas.openxmlformats.org/officeDocument/2006/relationships/image" Target="../media/image73.png"/><Relationship Id="rId91" Type="http://schemas.openxmlformats.org/officeDocument/2006/relationships/image" Target="../media/image86.png"/><Relationship Id="rId96" Type="http://schemas.openxmlformats.org/officeDocument/2006/relationships/image" Target="../media/image91.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2.png"/><Relationship Id="rId28" Type="http://schemas.openxmlformats.org/officeDocument/2006/relationships/image" Target="../media/image27.jpeg"/><Relationship Id="rId36" Type="http://schemas.openxmlformats.org/officeDocument/2006/relationships/image" Target="../media/image34.png"/><Relationship Id="rId49" Type="http://schemas.openxmlformats.org/officeDocument/2006/relationships/image" Target="../media/image47.png"/><Relationship Id="rId57" Type="http://schemas.openxmlformats.org/officeDocument/2006/relationships/image" Target="../media/image55.png"/><Relationship Id="rId106" Type="http://schemas.openxmlformats.org/officeDocument/2006/relationships/image" Target="../media/image101.png"/><Relationship Id="rId10" Type="http://schemas.openxmlformats.org/officeDocument/2006/relationships/image" Target="../media/image10.png"/><Relationship Id="rId31" Type="http://schemas.openxmlformats.org/officeDocument/2006/relationships/image" Target="../media/image30.png"/><Relationship Id="rId44" Type="http://schemas.openxmlformats.org/officeDocument/2006/relationships/image" Target="../media/image42.png"/><Relationship Id="rId52" Type="http://schemas.openxmlformats.org/officeDocument/2006/relationships/image" Target="../media/image50.png"/><Relationship Id="rId60" Type="http://schemas.openxmlformats.org/officeDocument/2006/relationships/image" Target="../media/image58.png"/><Relationship Id="rId65" Type="http://schemas.openxmlformats.org/officeDocument/2006/relationships/image" Target="../media/image63.png"/><Relationship Id="rId73" Type="http://schemas.openxmlformats.org/officeDocument/2006/relationships/image" Target="../media/image71.png"/><Relationship Id="rId78" Type="http://schemas.openxmlformats.org/officeDocument/2006/relationships/image" Target="../media/image75.jpeg"/><Relationship Id="rId81" Type="http://schemas.openxmlformats.org/officeDocument/2006/relationships/image" Target="../media/image78.jpeg"/><Relationship Id="rId86" Type="http://schemas.microsoft.com/office/2007/relationships/hdphoto" Target="../media/hdphoto5.wdp"/><Relationship Id="rId94" Type="http://schemas.openxmlformats.org/officeDocument/2006/relationships/image" Target="../media/image89.jpeg"/><Relationship Id="rId99" Type="http://schemas.openxmlformats.org/officeDocument/2006/relationships/image" Target="../media/image94.png"/><Relationship Id="rId101" Type="http://schemas.openxmlformats.org/officeDocument/2006/relationships/image" Target="../media/image96.pn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png"/><Relationship Id="rId18" Type="http://schemas.openxmlformats.org/officeDocument/2006/relationships/image" Target="../media/image17.jpeg"/><Relationship Id="rId39" Type="http://schemas.openxmlformats.org/officeDocument/2006/relationships/image" Target="../media/image37.png"/><Relationship Id="rId109" Type="http://schemas.openxmlformats.org/officeDocument/2006/relationships/image" Target="../media/image103.jpeg"/><Relationship Id="rId34" Type="http://schemas.openxmlformats.org/officeDocument/2006/relationships/image" Target="../media/image32.jpeg"/><Relationship Id="rId50" Type="http://schemas.openxmlformats.org/officeDocument/2006/relationships/image" Target="../media/image48.png"/><Relationship Id="rId55" Type="http://schemas.openxmlformats.org/officeDocument/2006/relationships/image" Target="../media/image53.png"/><Relationship Id="rId76" Type="http://schemas.microsoft.com/office/2007/relationships/hdphoto" Target="../media/hdphoto3.wdp"/><Relationship Id="rId97" Type="http://schemas.openxmlformats.org/officeDocument/2006/relationships/image" Target="../media/image92.png"/><Relationship Id="rId104" Type="http://schemas.openxmlformats.org/officeDocument/2006/relationships/image" Target="../media/image99.png"/><Relationship Id="rId7" Type="http://schemas.openxmlformats.org/officeDocument/2006/relationships/image" Target="../media/image7.png"/><Relationship Id="rId71" Type="http://schemas.openxmlformats.org/officeDocument/2006/relationships/image" Target="../media/image69.jpeg"/><Relationship Id="rId92" Type="http://schemas.openxmlformats.org/officeDocument/2006/relationships/image" Target="../media/image87.png"/><Relationship Id="rId2" Type="http://schemas.openxmlformats.org/officeDocument/2006/relationships/image" Target="../media/image2.jpeg"/><Relationship Id="rId29" Type="http://schemas.openxmlformats.org/officeDocument/2006/relationships/image" Target="../media/image28.png"/><Relationship Id="rId24" Type="http://schemas.openxmlformats.org/officeDocument/2006/relationships/image" Target="../media/image23.png"/><Relationship Id="rId40" Type="http://schemas.openxmlformats.org/officeDocument/2006/relationships/image" Target="../media/image38.png"/><Relationship Id="rId45" Type="http://schemas.openxmlformats.org/officeDocument/2006/relationships/image" Target="../media/image43.jpeg"/><Relationship Id="rId66" Type="http://schemas.openxmlformats.org/officeDocument/2006/relationships/image" Target="../media/image64.png"/><Relationship Id="rId87" Type="http://schemas.openxmlformats.org/officeDocument/2006/relationships/image" Target="../media/image82.png"/><Relationship Id="rId110" Type="http://schemas.openxmlformats.org/officeDocument/2006/relationships/image" Target="../media/image104.png"/><Relationship Id="rId61" Type="http://schemas.openxmlformats.org/officeDocument/2006/relationships/image" Target="../media/image59.png"/><Relationship Id="rId82" Type="http://schemas.openxmlformats.org/officeDocument/2006/relationships/image" Target="../media/image79.png"/><Relationship Id="rId19" Type="http://schemas.openxmlformats.org/officeDocument/2006/relationships/image" Target="../media/image18.png"/><Relationship Id="rId14" Type="http://schemas.openxmlformats.org/officeDocument/2006/relationships/image" Target="../media/image14.png"/><Relationship Id="rId30" Type="http://schemas.openxmlformats.org/officeDocument/2006/relationships/image" Target="../media/image29.jpeg"/><Relationship Id="rId35" Type="http://schemas.openxmlformats.org/officeDocument/2006/relationships/image" Target="../media/image33.png"/><Relationship Id="rId56" Type="http://schemas.openxmlformats.org/officeDocument/2006/relationships/image" Target="../media/image54.png"/><Relationship Id="rId77" Type="http://schemas.openxmlformats.org/officeDocument/2006/relationships/image" Target="../media/image74.png"/><Relationship Id="rId100" Type="http://schemas.openxmlformats.org/officeDocument/2006/relationships/image" Target="../media/image95.emf"/><Relationship Id="rId105" Type="http://schemas.openxmlformats.org/officeDocument/2006/relationships/image" Target="../media/image100.png"/><Relationship Id="rId8" Type="http://schemas.openxmlformats.org/officeDocument/2006/relationships/image" Target="../media/image8.png"/><Relationship Id="rId51" Type="http://schemas.openxmlformats.org/officeDocument/2006/relationships/image" Target="../media/image49.png"/><Relationship Id="rId72" Type="http://schemas.openxmlformats.org/officeDocument/2006/relationships/image" Target="../media/image70.jpeg"/><Relationship Id="rId93" Type="http://schemas.openxmlformats.org/officeDocument/2006/relationships/image" Target="../media/image88.png"/><Relationship Id="rId98" Type="http://schemas.openxmlformats.org/officeDocument/2006/relationships/image" Target="../media/image93.png"/><Relationship Id="rId3" Type="http://schemas.openxmlformats.org/officeDocument/2006/relationships/image" Target="../media/image3.png"/><Relationship Id="rId25" Type="http://schemas.openxmlformats.org/officeDocument/2006/relationships/image" Target="../media/image24.png"/><Relationship Id="rId46" Type="http://schemas.openxmlformats.org/officeDocument/2006/relationships/image" Target="../media/image44.jpeg"/><Relationship Id="rId67" Type="http://schemas.openxmlformats.org/officeDocument/2006/relationships/image" Target="../media/image65.png"/><Relationship Id="rId20" Type="http://schemas.openxmlformats.org/officeDocument/2006/relationships/image" Target="../media/image19.png"/><Relationship Id="rId41" Type="http://schemas.openxmlformats.org/officeDocument/2006/relationships/image" Target="../media/image39.png"/><Relationship Id="rId62" Type="http://schemas.openxmlformats.org/officeDocument/2006/relationships/image" Target="../media/image60.png"/><Relationship Id="rId83" Type="http://schemas.openxmlformats.org/officeDocument/2006/relationships/image" Target="../media/image80.png"/><Relationship Id="rId88" Type="http://schemas.openxmlformats.org/officeDocument/2006/relationships/image" Target="../media/image83.jpeg"/><Relationship Id="rId111" Type="http://schemas.openxmlformats.org/officeDocument/2006/relationships/image" Target="../media/image105.png"/></Relationships>
</file>

<file path=xl/drawings/drawing1.xml><?xml version="1.0" encoding="utf-8"?>
<xdr:wsDr xmlns:xdr="http://schemas.openxmlformats.org/drawingml/2006/spreadsheetDrawing" xmlns:a="http://schemas.openxmlformats.org/drawingml/2006/main">
  <xdr:oneCellAnchor>
    <xdr:from>
      <xdr:col>1</xdr:col>
      <xdr:colOff>682735</xdr:colOff>
      <xdr:row>31</xdr:row>
      <xdr:rowOff>64346</xdr:rowOff>
    </xdr:from>
    <xdr:ext cx="863245" cy="902162"/>
    <xdr:pic>
      <xdr:nvPicPr>
        <xdr:cNvPr id="91" name="Obrázek 17">
          <a:extLst>
            <a:ext uri="{FF2B5EF4-FFF2-40B4-BE49-F238E27FC236}">
              <a16:creationId xmlns:a16="http://schemas.microsoft.com/office/drawing/2014/main" id="{68A54823-DE7D-44A2-810B-37F329F8FC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128" y="15990706"/>
          <a:ext cx="863245" cy="90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125890</xdr:colOff>
      <xdr:row>35</xdr:row>
      <xdr:rowOff>118563</xdr:rowOff>
    </xdr:from>
    <xdr:ext cx="1895077" cy="1354805"/>
    <xdr:pic>
      <xdr:nvPicPr>
        <xdr:cNvPr id="94" name="Obrázek 33" descr="http://www.icf-office.it/upload/modelli/Una_plus/721.jpg">
          <a:extLst>
            <a:ext uri="{FF2B5EF4-FFF2-40B4-BE49-F238E27FC236}">
              <a16:creationId xmlns:a16="http://schemas.microsoft.com/office/drawing/2014/main" id="{A80EA8B9-36D4-454F-97A3-35AAE68303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1178" y="17168313"/>
          <a:ext cx="1895077" cy="135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216478</xdr:colOff>
      <xdr:row>40</xdr:row>
      <xdr:rowOff>199159</xdr:rowOff>
    </xdr:from>
    <xdr:ext cx="1837521" cy="1319610"/>
    <xdr:pic>
      <xdr:nvPicPr>
        <xdr:cNvPr id="98" name="Obrázek 97">
          <a:extLst>
            <a:ext uri="{FF2B5EF4-FFF2-40B4-BE49-F238E27FC236}">
              <a16:creationId xmlns:a16="http://schemas.microsoft.com/office/drawing/2014/main" id="{E0FFCB1A-248C-4981-BBE8-7454472C4356}"/>
            </a:ext>
          </a:extLst>
        </xdr:cNvPr>
        <xdr:cNvPicPr>
          <a:picLocks noChangeAspect="1"/>
        </xdr:cNvPicPr>
      </xdr:nvPicPr>
      <xdr:blipFill>
        <a:blip xmlns:r="http://schemas.openxmlformats.org/officeDocument/2006/relationships" r:embed="rId3" cstate="print"/>
        <a:stretch>
          <a:fillRect/>
        </a:stretch>
      </xdr:blipFill>
      <xdr:spPr>
        <a:xfrm>
          <a:off x="1792433" y="7689273"/>
          <a:ext cx="1837521" cy="1319610"/>
        </a:xfrm>
        <a:prstGeom prst="rect">
          <a:avLst/>
        </a:prstGeom>
      </xdr:spPr>
    </xdr:pic>
    <xdr:clientData/>
  </xdr:oneCellAnchor>
  <xdr:twoCellAnchor>
    <xdr:from>
      <xdr:col>1</xdr:col>
      <xdr:colOff>640773</xdr:colOff>
      <xdr:row>47</xdr:row>
      <xdr:rowOff>147204</xdr:rowOff>
    </xdr:from>
    <xdr:to>
      <xdr:col>1</xdr:col>
      <xdr:colOff>1498023</xdr:colOff>
      <xdr:row>47</xdr:row>
      <xdr:rowOff>1042554</xdr:rowOff>
    </xdr:to>
    <xdr:pic>
      <xdr:nvPicPr>
        <xdr:cNvPr id="99" name="Picture 4" descr="OK 1+3 Z">
          <a:extLst>
            <a:ext uri="{FF2B5EF4-FFF2-40B4-BE49-F238E27FC236}">
              <a16:creationId xmlns:a16="http://schemas.microsoft.com/office/drawing/2014/main" id="{DF1EA8B1-DC9E-4909-B4FC-662998B4641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16728" y="10226386"/>
          <a:ext cx="8572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432955</xdr:colOff>
      <xdr:row>64</xdr:row>
      <xdr:rowOff>181841</xdr:rowOff>
    </xdr:from>
    <xdr:to>
      <xdr:col>1</xdr:col>
      <xdr:colOff>1564049</xdr:colOff>
      <xdr:row>64</xdr:row>
      <xdr:rowOff>1840047</xdr:rowOff>
    </xdr:to>
    <xdr:pic>
      <xdr:nvPicPr>
        <xdr:cNvPr id="100" name="Picture 2" descr="S80 5OH-D">
          <a:extLst>
            <a:ext uri="{FF2B5EF4-FFF2-40B4-BE49-F238E27FC236}">
              <a16:creationId xmlns:a16="http://schemas.microsoft.com/office/drawing/2014/main" id="{3BAC6B83-7242-476D-86BD-37138D52C96C}"/>
            </a:ext>
          </a:extLst>
        </xdr:cNvPr>
        <xdr:cNvPicPr>
          <a:picLocks noChangeAspect="1" noChangeArrowheads="1"/>
        </xdr:cNvPicPr>
      </xdr:nvPicPr>
      <xdr:blipFill>
        <a:blip xmlns:r="http://schemas.openxmlformats.org/officeDocument/2006/relationships" r:embed="rId5" cstate="print"/>
        <a:srcRect l="28910" t="7382" r="30104" b="7382"/>
        <a:stretch>
          <a:fillRect/>
        </a:stretch>
      </xdr:blipFill>
      <xdr:spPr bwMode="auto">
        <a:xfrm>
          <a:off x="2008910" y="11681114"/>
          <a:ext cx="1131094" cy="1658206"/>
        </a:xfrm>
        <a:prstGeom prst="rect">
          <a:avLst/>
        </a:prstGeom>
        <a:noFill/>
      </xdr:spPr>
    </xdr:pic>
    <xdr:clientData/>
  </xdr:twoCellAnchor>
  <xdr:twoCellAnchor editAs="oneCell">
    <xdr:from>
      <xdr:col>1</xdr:col>
      <xdr:colOff>493569</xdr:colOff>
      <xdr:row>93</xdr:row>
      <xdr:rowOff>112568</xdr:rowOff>
    </xdr:from>
    <xdr:to>
      <xdr:col>1</xdr:col>
      <xdr:colOff>1273753</xdr:colOff>
      <xdr:row>93</xdr:row>
      <xdr:rowOff>1085352</xdr:rowOff>
    </xdr:to>
    <xdr:pic>
      <xdr:nvPicPr>
        <xdr:cNvPr id="101" name="Obrázek 19">
          <a:extLst>
            <a:ext uri="{FF2B5EF4-FFF2-40B4-BE49-F238E27FC236}">
              <a16:creationId xmlns:a16="http://schemas.microsoft.com/office/drawing/2014/main" id="{0B7C54C6-D6FC-43C2-BF67-3E73DC47DA4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69524" y="38801386"/>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545522</xdr:colOff>
      <xdr:row>91</xdr:row>
      <xdr:rowOff>77931</xdr:rowOff>
    </xdr:from>
    <xdr:to>
      <xdr:col>1</xdr:col>
      <xdr:colOff>1463385</xdr:colOff>
      <xdr:row>91</xdr:row>
      <xdr:rowOff>1121459</xdr:rowOff>
    </xdr:to>
    <xdr:pic>
      <xdr:nvPicPr>
        <xdr:cNvPr id="102" name="Obrázek 101">
          <a:extLst>
            <a:ext uri="{FF2B5EF4-FFF2-40B4-BE49-F238E27FC236}">
              <a16:creationId xmlns:a16="http://schemas.microsoft.com/office/drawing/2014/main" id="{401DA7D6-4E35-4876-AE8A-3FE769E5D15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21477" y="37762295"/>
          <a:ext cx="917863" cy="1037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675409</xdr:colOff>
      <xdr:row>68</xdr:row>
      <xdr:rowOff>43296</xdr:rowOff>
    </xdr:from>
    <xdr:to>
      <xdr:col>1</xdr:col>
      <xdr:colOff>1545994</xdr:colOff>
      <xdr:row>68</xdr:row>
      <xdr:rowOff>1851141</xdr:rowOff>
    </xdr:to>
    <xdr:pic>
      <xdr:nvPicPr>
        <xdr:cNvPr id="106" name="Picture 5">
          <a:extLst>
            <a:ext uri="{FF2B5EF4-FFF2-40B4-BE49-F238E27FC236}">
              <a16:creationId xmlns:a16="http://schemas.microsoft.com/office/drawing/2014/main" id="{F0E3DF03-4435-4ABF-8B1E-CF0631961DA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51364" y="18348614"/>
          <a:ext cx="876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658092</xdr:colOff>
      <xdr:row>71</xdr:row>
      <xdr:rowOff>242455</xdr:rowOff>
    </xdr:from>
    <xdr:to>
      <xdr:col>1</xdr:col>
      <xdr:colOff>1540107</xdr:colOff>
      <xdr:row>71</xdr:row>
      <xdr:rowOff>2035060</xdr:rowOff>
    </xdr:to>
    <xdr:pic>
      <xdr:nvPicPr>
        <xdr:cNvPr id="107" name="Picture 5">
          <a:extLst>
            <a:ext uri="{FF2B5EF4-FFF2-40B4-BE49-F238E27FC236}">
              <a16:creationId xmlns:a16="http://schemas.microsoft.com/office/drawing/2014/main" id="{5EC0A3B8-D8A5-4A66-9A24-B956EB04E0D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34047" y="20980978"/>
          <a:ext cx="876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72</xdr:row>
      <xdr:rowOff>173182</xdr:rowOff>
    </xdr:from>
    <xdr:to>
      <xdr:col>1</xdr:col>
      <xdr:colOff>1628775</xdr:colOff>
      <xdr:row>72</xdr:row>
      <xdr:rowOff>1078057</xdr:rowOff>
    </xdr:to>
    <xdr:pic>
      <xdr:nvPicPr>
        <xdr:cNvPr id="113" name="Picture 64" descr="S80 2OH-D">
          <a:extLst>
            <a:ext uri="{FF2B5EF4-FFF2-40B4-BE49-F238E27FC236}">
              <a16:creationId xmlns:a16="http://schemas.microsoft.com/office/drawing/2014/main" id="{142FBFB9-DC3B-484B-810A-16A04515CE4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47455" y="25778114"/>
          <a:ext cx="1057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571500</xdr:colOff>
      <xdr:row>75</xdr:row>
      <xdr:rowOff>34636</xdr:rowOff>
    </xdr:from>
    <xdr:ext cx="813954" cy="446993"/>
    <xdr:pic>
      <xdr:nvPicPr>
        <xdr:cNvPr id="114" name="Obrázek 113">
          <a:extLst>
            <a:ext uri="{FF2B5EF4-FFF2-40B4-BE49-F238E27FC236}">
              <a16:creationId xmlns:a16="http://schemas.microsoft.com/office/drawing/2014/main" id="{D0402878-4BDC-422A-9916-FA7E5451C0C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47455" y="28081431"/>
          <a:ext cx="813954" cy="4469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342900</xdr:colOff>
      <xdr:row>30</xdr:row>
      <xdr:rowOff>371475</xdr:rowOff>
    </xdr:from>
    <xdr:to>
      <xdr:col>1</xdr:col>
      <xdr:colOff>1691640</xdr:colOff>
      <xdr:row>30</xdr:row>
      <xdr:rowOff>1374383</xdr:rowOff>
    </xdr:to>
    <xdr:pic>
      <xdr:nvPicPr>
        <xdr:cNvPr id="123" name="Obrázek 122">
          <a:extLst>
            <a:ext uri="{FF2B5EF4-FFF2-40B4-BE49-F238E27FC236}">
              <a16:creationId xmlns:a16="http://schemas.microsoft.com/office/drawing/2014/main" id="{FA87029C-B762-4EB7-A092-5C0B277CED0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914525" y="15678150"/>
          <a:ext cx="1343025" cy="1002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512885</xdr:colOff>
      <xdr:row>65</xdr:row>
      <xdr:rowOff>410308</xdr:rowOff>
    </xdr:from>
    <xdr:to>
      <xdr:col>1</xdr:col>
      <xdr:colOff>1643979</xdr:colOff>
      <xdr:row>65</xdr:row>
      <xdr:rowOff>2068514</xdr:rowOff>
    </xdr:to>
    <xdr:pic>
      <xdr:nvPicPr>
        <xdr:cNvPr id="130" name="Picture 2" descr="S80 5OH-D">
          <a:extLst>
            <a:ext uri="{FF2B5EF4-FFF2-40B4-BE49-F238E27FC236}">
              <a16:creationId xmlns:a16="http://schemas.microsoft.com/office/drawing/2014/main" id="{5DA54992-EE19-4819-9A56-7ABEA4BE3553}"/>
            </a:ext>
          </a:extLst>
        </xdr:cNvPr>
        <xdr:cNvPicPr>
          <a:picLocks noChangeAspect="1" noChangeArrowheads="1"/>
        </xdr:cNvPicPr>
      </xdr:nvPicPr>
      <xdr:blipFill>
        <a:blip xmlns:r="http://schemas.openxmlformats.org/officeDocument/2006/relationships" r:embed="rId5" cstate="print"/>
        <a:srcRect l="28910" t="7382" r="30104" b="7382"/>
        <a:stretch>
          <a:fillRect/>
        </a:stretch>
      </xdr:blipFill>
      <xdr:spPr bwMode="auto">
        <a:xfrm>
          <a:off x="2088173" y="25688193"/>
          <a:ext cx="1131094" cy="1658206"/>
        </a:xfrm>
        <a:prstGeom prst="rect">
          <a:avLst/>
        </a:prstGeom>
        <a:noFill/>
      </xdr:spPr>
    </xdr:pic>
    <xdr:clientData/>
  </xdr:twoCellAnchor>
  <xdr:twoCellAnchor editAs="oneCell">
    <xdr:from>
      <xdr:col>1</xdr:col>
      <xdr:colOff>400049</xdr:colOff>
      <xdr:row>66</xdr:row>
      <xdr:rowOff>285749</xdr:rowOff>
    </xdr:from>
    <xdr:to>
      <xdr:col>1</xdr:col>
      <xdr:colOff>1732049</xdr:colOff>
      <xdr:row>66</xdr:row>
      <xdr:rowOff>2076569</xdr:rowOff>
    </xdr:to>
    <xdr:pic>
      <xdr:nvPicPr>
        <xdr:cNvPr id="135" name="Obrázek 3">
          <a:extLst>
            <a:ext uri="{FF2B5EF4-FFF2-40B4-BE49-F238E27FC236}">
              <a16:creationId xmlns:a16="http://schemas.microsoft.com/office/drawing/2014/main" id="{4FE09338-E692-4D70-B8BC-FD79A41A4827}"/>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485899" y="129863849"/>
          <a:ext cx="1332000" cy="177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615462</xdr:colOff>
      <xdr:row>138</xdr:row>
      <xdr:rowOff>58613</xdr:rowOff>
    </xdr:from>
    <xdr:to>
      <xdr:col>1</xdr:col>
      <xdr:colOff>1502019</xdr:colOff>
      <xdr:row>138</xdr:row>
      <xdr:rowOff>1159962</xdr:rowOff>
    </xdr:to>
    <xdr:pic>
      <xdr:nvPicPr>
        <xdr:cNvPr id="7" name="Obrázek 6">
          <a:extLst>
            <a:ext uri="{FF2B5EF4-FFF2-40B4-BE49-F238E27FC236}">
              <a16:creationId xmlns:a16="http://schemas.microsoft.com/office/drawing/2014/main" id="{50285B78-6A7A-4ECC-A9AE-0687F5CC65FB}"/>
            </a:ext>
          </a:extLst>
        </xdr:cNvPr>
        <xdr:cNvPicPr>
          <a:picLocks noChangeAspect="1"/>
        </xdr:cNvPicPr>
      </xdr:nvPicPr>
      <xdr:blipFill>
        <a:blip xmlns:r="http://schemas.openxmlformats.org/officeDocument/2006/relationships" r:embed="rId13" cstate="print"/>
        <a:stretch>
          <a:fillRect/>
        </a:stretch>
      </xdr:blipFill>
      <xdr:spPr>
        <a:xfrm>
          <a:off x="2190750" y="101639075"/>
          <a:ext cx="886557" cy="1101349"/>
        </a:xfrm>
        <a:prstGeom prst="rect">
          <a:avLst/>
        </a:prstGeom>
      </xdr:spPr>
    </xdr:pic>
    <xdr:clientData/>
  </xdr:twoCellAnchor>
  <xdr:twoCellAnchor editAs="oneCell">
    <xdr:from>
      <xdr:col>1</xdr:col>
      <xdr:colOff>659424</xdr:colOff>
      <xdr:row>139</xdr:row>
      <xdr:rowOff>131884</xdr:rowOff>
    </xdr:from>
    <xdr:to>
      <xdr:col>1</xdr:col>
      <xdr:colOff>1504281</xdr:colOff>
      <xdr:row>139</xdr:row>
      <xdr:rowOff>610913</xdr:rowOff>
    </xdr:to>
    <xdr:pic>
      <xdr:nvPicPr>
        <xdr:cNvPr id="9" name="Obrázek 8">
          <a:extLst>
            <a:ext uri="{FF2B5EF4-FFF2-40B4-BE49-F238E27FC236}">
              <a16:creationId xmlns:a16="http://schemas.microsoft.com/office/drawing/2014/main" id="{733E3DED-ECF9-4EB9-BA0C-5248E1607EEF}"/>
            </a:ext>
          </a:extLst>
        </xdr:cNvPr>
        <xdr:cNvPicPr>
          <a:picLocks noChangeAspect="1"/>
        </xdr:cNvPicPr>
      </xdr:nvPicPr>
      <xdr:blipFill>
        <a:blip xmlns:r="http://schemas.openxmlformats.org/officeDocument/2006/relationships" r:embed="rId14" cstate="print"/>
        <a:stretch>
          <a:fillRect/>
        </a:stretch>
      </xdr:blipFill>
      <xdr:spPr>
        <a:xfrm>
          <a:off x="2234712" y="103038519"/>
          <a:ext cx="844857" cy="479029"/>
        </a:xfrm>
        <a:prstGeom prst="rect">
          <a:avLst/>
        </a:prstGeom>
      </xdr:spPr>
    </xdr:pic>
    <xdr:clientData/>
  </xdr:twoCellAnchor>
  <xdr:twoCellAnchor editAs="oneCell">
    <xdr:from>
      <xdr:col>1</xdr:col>
      <xdr:colOff>688360</xdr:colOff>
      <xdr:row>86</xdr:row>
      <xdr:rowOff>377199</xdr:rowOff>
    </xdr:from>
    <xdr:to>
      <xdr:col>1</xdr:col>
      <xdr:colOff>1432527</xdr:colOff>
      <xdr:row>86</xdr:row>
      <xdr:rowOff>1750920</xdr:rowOff>
    </xdr:to>
    <xdr:pic>
      <xdr:nvPicPr>
        <xdr:cNvPr id="143" name="Obrázek 142">
          <a:extLst>
            <a:ext uri="{FF2B5EF4-FFF2-40B4-BE49-F238E27FC236}">
              <a16:creationId xmlns:a16="http://schemas.microsoft.com/office/drawing/2014/main" id="{051B4418-4FED-4F49-AF33-6FCB200C237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257184" y="42693412"/>
          <a:ext cx="744167" cy="1373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109902</xdr:colOff>
      <xdr:row>4</xdr:row>
      <xdr:rowOff>109902</xdr:rowOff>
    </xdr:from>
    <xdr:ext cx="1970945" cy="1277363"/>
    <xdr:pic>
      <xdr:nvPicPr>
        <xdr:cNvPr id="64" name="Obrázek 63">
          <a:extLst>
            <a:ext uri="{FF2B5EF4-FFF2-40B4-BE49-F238E27FC236}">
              <a16:creationId xmlns:a16="http://schemas.microsoft.com/office/drawing/2014/main" id="{E184294B-9DF9-4352-9C00-E22C7F61BBA3}"/>
            </a:ext>
          </a:extLst>
        </xdr:cNvPr>
        <xdr:cNvPicPr>
          <a:picLocks noChangeAspect="1"/>
        </xdr:cNvPicPr>
      </xdr:nvPicPr>
      <xdr:blipFill rotWithShape="1">
        <a:blip xmlns:r="http://schemas.openxmlformats.org/officeDocument/2006/relationships" r:embed="rId16" cstate="print">
          <a:extLst>
            <a:ext uri="{BEBA8EAE-BF5A-486C-A8C5-ECC9F3942E4B}">
              <a14:imgProps xmlns:a14="http://schemas.microsoft.com/office/drawing/2010/main">
                <a14:imgLayer r:embed="rId17">
                  <a14:imgEffect>
                    <a14:saturation sat="0"/>
                  </a14:imgEffect>
                </a14:imgLayer>
              </a14:imgProps>
            </a:ext>
            <a:ext uri="{28A0092B-C50C-407E-A947-70E740481C1C}">
              <a14:useLocalDpi xmlns:a14="http://schemas.microsoft.com/office/drawing/2010/main" val="0"/>
            </a:ext>
          </a:extLst>
        </a:blip>
        <a:srcRect/>
        <a:stretch/>
      </xdr:blipFill>
      <xdr:spPr>
        <a:xfrm>
          <a:off x="863243" y="53380629"/>
          <a:ext cx="1970945" cy="1277363"/>
        </a:xfrm>
        <a:prstGeom prst="rect">
          <a:avLst/>
        </a:prstGeom>
      </xdr:spPr>
    </xdr:pic>
    <xdr:clientData/>
  </xdr:oneCellAnchor>
  <xdr:oneCellAnchor>
    <xdr:from>
      <xdr:col>1</xdr:col>
      <xdr:colOff>277091</xdr:colOff>
      <xdr:row>11</xdr:row>
      <xdr:rowOff>231887</xdr:rowOff>
    </xdr:from>
    <xdr:ext cx="1466850" cy="1015198"/>
    <xdr:pic>
      <xdr:nvPicPr>
        <xdr:cNvPr id="67" name="Obrázek 103">
          <a:extLst>
            <a:ext uri="{FF2B5EF4-FFF2-40B4-BE49-F238E27FC236}">
              <a16:creationId xmlns:a16="http://schemas.microsoft.com/office/drawing/2014/main" id="{31E65264-FDE3-4791-8CC6-338DD78267ED}"/>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bwMode="auto">
        <a:xfrm>
          <a:off x="1362941" y="13500212"/>
          <a:ext cx="1466850" cy="101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277091</xdr:colOff>
      <xdr:row>13</xdr:row>
      <xdr:rowOff>231887</xdr:rowOff>
    </xdr:from>
    <xdr:ext cx="1466850" cy="1015198"/>
    <xdr:pic>
      <xdr:nvPicPr>
        <xdr:cNvPr id="68" name="Obrázek 103">
          <a:extLst>
            <a:ext uri="{FF2B5EF4-FFF2-40B4-BE49-F238E27FC236}">
              <a16:creationId xmlns:a16="http://schemas.microsoft.com/office/drawing/2014/main" id="{CE1D3664-61D8-49D8-960A-5D52C6DAC5D9}"/>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bwMode="auto">
        <a:xfrm>
          <a:off x="1362941" y="15767162"/>
          <a:ext cx="1466850" cy="101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181840</xdr:colOff>
      <xdr:row>14</xdr:row>
      <xdr:rowOff>207818</xdr:rowOff>
    </xdr:from>
    <xdr:ext cx="1992351" cy="1706563"/>
    <xdr:pic>
      <xdr:nvPicPr>
        <xdr:cNvPr id="74" name="Obrázek 44">
          <a:extLst>
            <a:ext uri="{FF2B5EF4-FFF2-40B4-BE49-F238E27FC236}">
              <a16:creationId xmlns:a16="http://schemas.microsoft.com/office/drawing/2014/main" id="{195E7DC7-4218-4FDD-B4A2-E6DCDCD02582}"/>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935181" y="110368773"/>
          <a:ext cx="1992351" cy="1706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164523</xdr:colOff>
      <xdr:row>15</xdr:row>
      <xdr:rowOff>103911</xdr:rowOff>
    </xdr:from>
    <xdr:ext cx="1575954" cy="798160"/>
    <xdr:pic>
      <xdr:nvPicPr>
        <xdr:cNvPr id="77" name="Obrázek 76">
          <a:extLst>
            <a:ext uri="{FF2B5EF4-FFF2-40B4-BE49-F238E27FC236}">
              <a16:creationId xmlns:a16="http://schemas.microsoft.com/office/drawing/2014/main" id="{5DF9D2A6-9BCB-4B8C-BC40-FDEEDD38345A}"/>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917864" y="120144888"/>
          <a:ext cx="1575954" cy="798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410441</xdr:colOff>
      <xdr:row>16</xdr:row>
      <xdr:rowOff>241412</xdr:rowOff>
    </xdr:from>
    <xdr:ext cx="1466850" cy="1015198"/>
    <xdr:pic>
      <xdr:nvPicPr>
        <xdr:cNvPr id="78" name="Obrázek 103">
          <a:extLst>
            <a:ext uri="{FF2B5EF4-FFF2-40B4-BE49-F238E27FC236}">
              <a16:creationId xmlns:a16="http://schemas.microsoft.com/office/drawing/2014/main" id="{94DE668F-A638-42FC-805E-930D4D403D7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bwMode="auto">
        <a:xfrm>
          <a:off x="1496291" y="26482787"/>
          <a:ext cx="1466850" cy="101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518272</xdr:colOff>
      <xdr:row>23</xdr:row>
      <xdr:rowOff>217114</xdr:rowOff>
    </xdr:from>
    <xdr:ext cx="863245" cy="840441"/>
    <xdr:pic>
      <xdr:nvPicPr>
        <xdr:cNvPr id="81" name="Obrázek 17">
          <a:extLst>
            <a:ext uri="{FF2B5EF4-FFF2-40B4-BE49-F238E27FC236}">
              <a16:creationId xmlns:a16="http://schemas.microsoft.com/office/drawing/2014/main" id="{BF24A354-3253-468C-A166-7236F1659B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613" y="72044273"/>
          <a:ext cx="863245" cy="84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290556</xdr:colOff>
      <xdr:row>29</xdr:row>
      <xdr:rowOff>107882</xdr:rowOff>
    </xdr:from>
    <xdr:ext cx="1631457" cy="1129122"/>
    <xdr:pic>
      <xdr:nvPicPr>
        <xdr:cNvPr id="88" name="Obrázek 87">
          <a:extLst>
            <a:ext uri="{FF2B5EF4-FFF2-40B4-BE49-F238E27FC236}">
              <a16:creationId xmlns:a16="http://schemas.microsoft.com/office/drawing/2014/main" id="{4F8EDC31-14C3-45EA-9980-D2BF562DF16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1386443" y="45059737"/>
          <a:ext cx="1631457" cy="11291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307732</xdr:colOff>
      <xdr:row>37</xdr:row>
      <xdr:rowOff>395655</xdr:rowOff>
    </xdr:from>
    <xdr:ext cx="1527411" cy="941070"/>
    <xdr:pic>
      <xdr:nvPicPr>
        <xdr:cNvPr id="97" name="Obrázek 96" descr="http://www.icf-office.it/upload/modelli/stick_skid_STK550_BIG.gif">
          <a:extLst>
            <a:ext uri="{FF2B5EF4-FFF2-40B4-BE49-F238E27FC236}">
              <a16:creationId xmlns:a16="http://schemas.microsoft.com/office/drawing/2014/main" id="{DF6BD58B-A9A0-47A5-9F36-26DF1A9B441F}"/>
            </a:ext>
          </a:extLst>
        </xdr:cNvPr>
        <xdr:cNvPicPr>
          <a:picLocks noChangeAspect="1" noChangeArrowheads="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19429" t="23200" r="20286" b="24800"/>
        <a:stretch/>
      </xdr:blipFill>
      <xdr:spPr bwMode="auto">
        <a:xfrm>
          <a:off x="1393582" y="64746555"/>
          <a:ext cx="1527411" cy="9410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195279</xdr:colOff>
      <xdr:row>41</xdr:row>
      <xdr:rowOff>51288</xdr:rowOff>
    </xdr:from>
    <xdr:ext cx="1717047" cy="1077057"/>
    <xdr:pic>
      <xdr:nvPicPr>
        <xdr:cNvPr id="124" name="Obrázek 1">
          <a:extLst>
            <a:ext uri="{FF2B5EF4-FFF2-40B4-BE49-F238E27FC236}">
              <a16:creationId xmlns:a16="http://schemas.microsoft.com/office/drawing/2014/main" id="{30DB0454-DAC3-481A-BFD5-E8BE1DC95DE2}"/>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948620" y="84087765"/>
          <a:ext cx="1717047" cy="1077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104775</xdr:colOff>
      <xdr:row>43</xdr:row>
      <xdr:rowOff>285750</xdr:rowOff>
    </xdr:from>
    <xdr:ext cx="1957848" cy="1371600"/>
    <xdr:pic>
      <xdr:nvPicPr>
        <xdr:cNvPr id="126" name="Obrázek 125">
          <a:extLst>
            <a:ext uri="{FF2B5EF4-FFF2-40B4-BE49-F238E27FC236}">
              <a16:creationId xmlns:a16="http://schemas.microsoft.com/office/drawing/2014/main" id="{60143887-FC92-4D98-98FE-7C3FF10E143E}"/>
            </a:ext>
          </a:extLst>
        </xdr:cNvPr>
        <xdr:cNvPicPr>
          <a:picLocks noChangeAspect="1"/>
        </xdr:cNvPicPr>
      </xdr:nvPicPr>
      <xdr:blipFill>
        <a:blip xmlns:r="http://schemas.openxmlformats.org/officeDocument/2006/relationships" r:embed="rId24" cstate="print"/>
        <a:stretch>
          <a:fillRect/>
        </a:stretch>
      </xdr:blipFill>
      <xdr:spPr>
        <a:xfrm>
          <a:off x="858116" y="121487045"/>
          <a:ext cx="1957848" cy="1371600"/>
        </a:xfrm>
        <a:prstGeom prst="rect">
          <a:avLst/>
        </a:prstGeom>
      </xdr:spPr>
    </xdr:pic>
    <xdr:clientData/>
  </xdr:oneCellAnchor>
  <xdr:twoCellAnchor editAs="oneCell">
    <xdr:from>
      <xdr:col>1</xdr:col>
      <xdr:colOff>129886</xdr:colOff>
      <xdr:row>42</xdr:row>
      <xdr:rowOff>95251</xdr:rowOff>
    </xdr:from>
    <xdr:to>
      <xdr:col>1</xdr:col>
      <xdr:colOff>1998635</xdr:colOff>
      <xdr:row>42</xdr:row>
      <xdr:rowOff>1295401</xdr:rowOff>
    </xdr:to>
    <xdr:pic>
      <xdr:nvPicPr>
        <xdr:cNvPr id="2" name="Obrázek 1">
          <a:extLst>
            <a:ext uri="{FF2B5EF4-FFF2-40B4-BE49-F238E27FC236}">
              <a16:creationId xmlns:a16="http://schemas.microsoft.com/office/drawing/2014/main" id="{775B5799-4858-4DD6-997E-593EEEF17E08}"/>
            </a:ext>
          </a:extLst>
        </xdr:cNvPr>
        <xdr:cNvPicPr>
          <a:picLocks noChangeAspect="1"/>
        </xdr:cNvPicPr>
      </xdr:nvPicPr>
      <xdr:blipFill>
        <a:blip xmlns:r="http://schemas.openxmlformats.org/officeDocument/2006/relationships" r:embed="rId25" cstate="print"/>
        <a:stretch>
          <a:fillRect/>
        </a:stretch>
      </xdr:blipFill>
      <xdr:spPr>
        <a:xfrm>
          <a:off x="883227" y="59366728"/>
          <a:ext cx="1880179" cy="1203614"/>
        </a:xfrm>
        <a:prstGeom prst="rect">
          <a:avLst/>
        </a:prstGeom>
      </xdr:spPr>
    </xdr:pic>
    <xdr:clientData/>
  </xdr:twoCellAnchor>
  <xdr:twoCellAnchor editAs="oneCell">
    <xdr:from>
      <xdr:col>1</xdr:col>
      <xdr:colOff>95251</xdr:colOff>
      <xdr:row>36</xdr:row>
      <xdr:rowOff>129885</xdr:rowOff>
    </xdr:from>
    <xdr:to>
      <xdr:col>1</xdr:col>
      <xdr:colOff>2149569</xdr:colOff>
      <xdr:row>36</xdr:row>
      <xdr:rowOff>1654926</xdr:rowOff>
    </xdr:to>
    <xdr:pic>
      <xdr:nvPicPr>
        <xdr:cNvPr id="140" name="Obrázek 139">
          <a:extLst>
            <a:ext uri="{FF2B5EF4-FFF2-40B4-BE49-F238E27FC236}">
              <a16:creationId xmlns:a16="http://schemas.microsoft.com/office/drawing/2014/main" id="{60D4E6BA-F8D5-41F4-8505-CB9A6347ED94}"/>
            </a:ext>
          </a:extLst>
        </xdr:cNvPr>
        <xdr:cNvPicPr>
          <a:picLocks noChangeAspect="1" noChangeArrowheads="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a:stretch/>
      </xdr:blipFill>
      <xdr:spPr bwMode="auto">
        <a:xfrm>
          <a:off x="848592" y="47192044"/>
          <a:ext cx="2044793" cy="1532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597478</xdr:colOff>
      <xdr:row>70</xdr:row>
      <xdr:rowOff>173182</xdr:rowOff>
    </xdr:from>
    <xdr:ext cx="876300" cy="1800225"/>
    <xdr:pic>
      <xdr:nvPicPr>
        <xdr:cNvPr id="141" name="Picture 5">
          <a:extLst>
            <a:ext uri="{FF2B5EF4-FFF2-40B4-BE49-F238E27FC236}">
              <a16:creationId xmlns:a16="http://schemas.microsoft.com/office/drawing/2014/main" id="{0F568AC4-5F79-4E72-B8DC-C9592516A9F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50819" y="78763091"/>
          <a:ext cx="876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147077</xdr:colOff>
      <xdr:row>87</xdr:row>
      <xdr:rowOff>168089</xdr:rowOff>
    </xdr:from>
    <xdr:ext cx="1939219" cy="1785938"/>
    <xdr:pic>
      <xdr:nvPicPr>
        <xdr:cNvPr id="146" name="Obrázek 145">
          <a:extLst>
            <a:ext uri="{FF2B5EF4-FFF2-40B4-BE49-F238E27FC236}">
              <a16:creationId xmlns:a16="http://schemas.microsoft.com/office/drawing/2014/main" id="{C34F3698-DAC1-47C1-8897-2A6C338F5D15}"/>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900418" y="90032134"/>
          <a:ext cx="1939219" cy="17859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458931</xdr:colOff>
      <xdr:row>49</xdr:row>
      <xdr:rowOff>242455</xdr:rowOff>
    </xdr:from>
    <xdr:to>
      <xdr:col>1</xdr:col>
      <xdr:colOff>1592406</xdr:colOff>
      <xdr:row>49</xdr:row>
      <xdr:rowOff>1899805</xdr:rowOff>
    </xdr:to>
    <xdr:pic>
      <xdr:nvPicPr>
        <xdr:cNvPr id="147" name="Picture 2" descr="S80 5OH-D">
          <a:extLst>
            <a:ext uri="{FF2B5EF4-FFF2-40B4-BE49-F238E27FC236}">
              <a16:creationId xmlns:a16="http://schemas.microsoft.com/office/drawing/2014/main" id="{65F737FE-9698-4349-9F48-DD26E4AA9264}"/>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212272" y="93388296"/>
          <a:ext cx="113347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588819</xdr:colOff>
      <xdr:row>53</xdr:row>
      <xdr:rowOff>103910</xdr:rowOff>
    </xdr:from>
    <xdr:ext cx="828675" cy="1706725"/>
    <xdr:pic>
      <xdr:nvPicPr>
        <xdr:cNvPr id="148" name="Obrázek 147">
          <a:extLst>
            <a:ext uri="{FF2B5EF4-FFF2-40B4-BE49-F238E27FC236}">
              <a16:creationId xmlns:a16="http://schemas.microsoft.com/office/drawing/2014/main" id="{ABC288AA-6CEF-48D7-90AE-29402E331C0B}"/>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342160" y="96020660"/>
          <a:ext cx="828675" cy="1706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675409</xdr:colOff>
      <xdr:row>59</xdr:row>
      <xdr:rowOff>242454</xdr:rowOff>
    </xdr:from>
    <xdr:ext cx="876300" cy="1800225"/>
    <xdr:pic>
      <xdr:nvPicPr>
        <xdr:cNvPr id="149" name="Picture 5">
          <a:extLst>
            <a:ext uri="{FF2B5EF4-FFF2-40B4-BE49-F238E27FC236}">
              <a16:creationId xmlns:a16="http://schemas.microsoft.com/office/drawing/2014/main" id="{7920F6B6-43E8-4758-B81F-19045BD74EA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28750" y="101830909"/>
          <a:ext cx="876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597478</xdr:colOff>
      <xdr:row>57</xdr:row>
      <xdr:rowOff>259773</xdr:rowOff>
    </xdr:from>
    <xdr:ext cx="876300" cy="1800225"/>
    <xdr:pic>
      <xdr:nvPicPr>
        <xdr:cNvPr id="150" name="Picture 5">
          <a:extLst>
            <a:ext uri="{FF2B5EF4-FFF2-40B4-BE49-F238E27FC236}">
              <a16:creationId xmlns:a16="http://schemas.microsoft.com/office/drawing/2014/main" id="{1BEA8F9F-7265-4A9E-AFAA-D32884A23F5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50819" y="99094637"/>
          <a:ext cx="876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675409</xdr:colOff>
      <xdr:row>60</xdr:row>
      <xdr:rowOff>242454</xdr:rowOff>
    </xdr:from>
    <xdr:ext cx="876300" cy="1800225"/>
    <xdr:pic>
      <xdr:nvPicPr>
        <xdr:cNvPr id="152" name="Picture 5">
          <a:extLst>
            <a:ext uri="{FF2B5EF4-FFF2-40B4-BE49-F238E27FC236}">
              <a16:creationId xmlns:a16="http://schemas.microsoft.com/office/drawing/2014/main" id="{7DF7C821-674D-4702-BB91-292297FB789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28750" y="106402909"/>
          <a:ext cx="876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428625</xdr:colOff>
      <xdr:row>84</xdr:row>
      <xdr:rowOff>158815</xdr:rowOff>
    </xdr:from>
    <xdr:ext cx="1381140" cy="1854264"/>
    <xdr:pic>
      <xdr:nvPicPr>
        <xdr:cNvPr id="154" name="Obrázek 153">
          <a:extLst>
            <a:ext uri="{FF2B5EF4-FFF2-40B4-BE49-F238E27FC236}">
              <a16:creationId xmlns:a16="http://schemas.microsoft.com/office/drawing/2014/main" id="{890320AF-6388-4345-8B07-F3312778B062}"/>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bwMode="auto">
        <a:xfrm>
          <a:off x="1514475" y="161017015"/>
          <a:ext cx="1381140" cy="18542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863203</xdr:colOff>
      <xdr:row>77</xdr:row>
      <xdr:rowOff>76994</xdr:rowOff>
    </xdr:from>
    <xdr:ext cx="566259" cy="910676"/>
    <xdr:pic>
      <xdr:nvPicPr>
        <xdr:cNvPr id="158" name="Obrázek 157">
          <a:extLst>
            <a:ext uri="{FF2B5EF4-FFF2-40B4-BE49-F238E27FC236}">
              <a16:creationId xmlns:a16="http://schemas.microsoft.com/office/drawing/2014/main" id="{2433E251-764D-440E-9EDC-594338FFBB79}"/>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339453" y="130607594"/>
          <a:ext cx="566259" cy="910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863203</xdr:colOff>
      <xdr:row>78</xdr:row>
      <xdr:rowOff>19844</xdr:rowOff>
    </xdr:from>
    <xdr:ext cx="566259" cy="910676"/>
    <xdr:pic>
      <xdr:nvPicPr>
        <xdr:cNvPr id="159" name="Obrázek 158">
          <a:extLst>
            <a:ext uri="{FF2B5EF4-FFF2-40B4-BE49-F238E27FC236}">
              <a16:creationId xmlns:a16="http://schemas.microsoft.com/office/drawing/2014/main" id="{F7D6B2C3-6CF3-40F0-B0AE-4E36BCDBBA99}"/>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616544" y="102231753"/>
          <a:ext cx="566259" cy="910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493569</xdr:colOff>
      <xdr:row>98</xdr:row>
      <xdr:rowOff>112568</xdr:rowOff>
    </xdr:from>
    <xdr:ext cx="770659" cy="984214"/>
    <xdr:pic>
      <xdr:nvPicPr>
        <xdr:cNvPr id="160" name="Obrázek 19">
          <a:extLst>
            <a:ext uri="{FF2B5EF4-FFF2-40B4-BE49-F238E27FC236}">
              <a16:creationId xmlns:a16="http://schemas.microsoft.com/office/drawing/2014/main" id="{4CA5503D-06DF-40A6-A601-9FD92F059E1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6910" y="121132023"/>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493569</xdr:colOff>
      <xdr:row>94</xdr:row>
      <xdr:rowOff>112568</xdr:rowOff>
    </xdr:from>
    <xdr:ext cx="770659" cy="984214"/>
    <xdr:pic>
      <xdr:nvPicPr>
        <xdr:cNvPr id="161" name="Obrázek 19">
          <a:extLst>
            <a:ext uri="{FF2B5EF4-FFF2-40B4-BE49-F238E27FC236}">
              <a16:creationId xmlns:a16="http://schemas.microsoft.com/office/drawing/2014/main" id="{F560D14A-D499-48E6-820C-13A67A3D0EC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6910" y="121132023"/>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493569</xdr:colOff>
      <xdr:row>95</xdr:row>
      <xdr:rowOff>112568</xdr:rowOff>
    </xdr:from>
    <xdr:ext cx="770659" cy="984214"/>
    <xdr:pic>
      <xdr:nvPicPr>
        <xdr:cNvPr id="162" name="Obrázek 19">
          <a:extLst>
            <a:ext uri="{FF2B5EF4-FFF2-40B4-BE49-F238E27FC236}">
              <a16:creationId xmlns:a16="http://schemas.microsoft.com/office/drawing/2014/main" id="{2AF25F7C-E584-453F-BAAA-E7DDD5B4A86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6910" y="121132023"/>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493569</xdr:colOff>
      <xdr:row>96</xdr:row>
      <xdr:rowOff>112568</xdr:rowOff>
    </xdr:from>
    <xdr:ext cx="770659" cy="984214"/>
    <xdr:pic>
      <xdr:nvPicPr>
        <xdr:cNvPr id="163" name="Obrázek 19">
          <a:extLst>
            <a:ext uri="{FF2B5EF4-FFF2-40B4-BE49-F238E27FC236}">
              <a16:creationId xmlns:a16="http://schemas.microsoft.com/office/drawing/2014/main" id="{D2B30404-BF4C-4795-89E5-DBEE35FFAEF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6910" y="122335636"/>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493569</xdr:colOff>
      <xdr:row>97</xdr:row>
      <xdr:rowOff>112568</xdr:rowOff>
    </xdr:from>
    <xdr:ext cx="770659" cy="984214"/>
    <xdr:pic>
      <xdr:nvPicPr>
        <xdr:cNvPr id="164" name="Obrázek 19">
          <a:extLst>
            <a:ext uri="{FF2B5EF4-FFF2-40B4-BE49-F238E27FC236}">
              <a16:creationId xmlns:a16="http://schemas.microsoft.com/office/drawing/2014/main" id="{24E5F8C6-5F02-42E9-8076-992ECC75B3D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6910" y="121132023"/>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493569</xdr:colOff>
      <xdr:row>98</xdr:row>
      <xdr:rowOff>112568</xdr:rowOff>
    </xdr:from>
    <xdr:ext cx="770659" cy="984214"/>
    <xdr:pic>
      <xdr:nvPicPr>
        <xdr:cNvPr id="165" name="Obrázek 19">
          <a:extLst>
            <a:ext uri="{FF2B5EF4-FFF2-40B4-BE49-F238E27FC236}">
              <a16:creationId xmlns:a16="http://schemas.microsoft.com/office/drawing/2014/main" id="{AC0AC693-7678-4519-B6A2-7091FEEBD5E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6910" y="122335636"/>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493569</xdr:colOff>
      <xdr:row>100</xdr:row>
      <xdr:rowOff>112568</xdr:rowOff>
    </xdr:from>
    <xdr:ext cx="770659" cy="984214"/>
    <xdr:pic>
      <xdr:nvPicPr>
        <xdr:cNvPr id="166" name="Obrázek 19">
          <a:extLst>
            <a:ext uri="{FF2B5EF4-FFF2-40B4-BE49-F238E27FC236}">
              <a16:creationId xmlns:a16="http://schemas.microsoft.com/office/drawing/2014/main" id="{75DAC4A9-7CB5-4EC3-8D99-D50114F034F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6910" y="127150091"/>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493569</xdr:colOff>
      <xdr:row>99</xdr:row>
      <xdr:rowOff>112568</xdr:rowOff>
    </xdr:from>
    <xdr:ext cx="770659" cy="984214"/>
    <xdr:pic>
      <xdr:nvPicPr>
        <xdr:cNvPr id="167" name="Obrázek 19">
          <a:extLst>
            <a:ext uri="{FF2B5EF4-FFF2-40B4-BE49-F238E27FC236}">
              <a16:creationId xmlns:a16="http://schemas.microsoft.com/office/drawing/2014/main" id="{E68A0C58-4F09-421E-8613-D9950041E94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6910" y="125946477"/>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493569</xdr:colOff>
      <xdr:row>100</xdr:row>
      <xdr:rowOff>112568</xdr:rowOff>
    </xdr:from>
    <xdr:ext cx="770659" cy="984214"/>
    <xdr:pic>
      <xdr:nvPicPr>
        <xdr:cNvPr id="168" name="Obrázek 19">
          <a:extLst>
            <a:ext uri="{FF2B5EF4-FFF2-40B4-BE49-F238E27FC236}">
              <a16:creationId xmlns:a16="http://schemas.microsoft.com/office/drawing/2014/main" id="{412AF36A-7096-4E94-8E8D-2CEA487573A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6910" y="127150091"/>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406978</xdr:colOff>
      <xdr:row>82</xdr:row>
      <xdr:rowOff>60613</xdr:rowOff>
    </xdr:from>
    <xdr:to>
      <xdr:col>1</xdr:col>
      <xdr:colOff>1887682</xdr:colOff>
      <xdr:row>82</xdr:row>
      <xdr:rowOff>1045830</xdr:rowOff>
    </xdr:to>
    <xdr:pic>
      <xdr:nvPicPr>
        <xdr:cNvPr id="8" name="Obrázek 7">
          <a:extLst>
            <a:ext uri="{FF2B5EF4-FFF2-40B4-BE49-F238E27FC236}">
              <a16:creationId xmlns:a16="http://schemas.microsoft.com/office/drawing/2014/main" id="{F1178149-8C27-44E3-993E-B794C6DB003C}"/>
            </a:ext>
          </a:extLst>
        </xdr:cNvPr>
        <xdr:cNvPicPr>
          <a:picLocks noChangeAspect="1"/>
        </xdr:cNvPicPr>
      </xdr:nvPicPr>
      <xdr:blipFill rotWithShape="1">
        <a:blip xmlns:r="http://schemas.openxmlformats.org/officeDocument/2006/relationships" r:embed="rId32" cstate="print">
          <a:extLst>
            <a:ext uri="{BEBA8EAE-BF5A-486C-A8C5-ECC9F3942E4B}">
              <a14:imgProps xmlns:a14="http://schemas.microsoft.com/office/drawing/2010/main">
                <a14:imgLayer r:embed="rId33">
                  <a14:imgEffect>
                    <a14:saturation sat="0"/>
                  </a14:imgEffect>
                </a14:imgLayer>
              </a14:imgProps>
            </a:ext>
            <a:ext uri="{28A0092B-C50C-407E-A947-70E740481C1C}">
              <a14:useLocalDpi xmlns:a14="http://schemas.microsoft.com/office/drawing/2010/main" val="0"/>
            </a:ext>
          </a:extLst>
        </a:blip>
        <a:srcRect/>
        <a:stretch/>
      </xdr:blipFill>
      <xdr:spPr>
        <a:xfrm>
          <a:off x="1160319" y="106714636"/>
          <a:ext cx="1480704" cy="985217"/>
        </a:xfrm>
        <a:prstGeom prst="rect">
          <a:avLst/>
        </a:prstGeom>
      </xdr:spPr>
    </xdr:pic>
    <xdr:clientData/>
  </xdr:twoCellAnchor>
  <xdr:twoCellAnchor editAs="oneCell">
    <xdr:from>
      <xdr:col>1</xdr:col>
      <xdr:colOff>398318</xdr:colOff>
      <xdr:row>83</xdr:row>
      <xdr:rowOff>86591</xdr:rowOff>
    </xdr:from>
    <xdr:to>
      <xdr:col>1</xdr:col>
      <xdr:colOff>1886642</xdr:colOff>
      <xdr:row>83</xdr:row>
      <xdr:rowOff>1087048</xdr:rowOff>
    </xdr:to>
    <xdr:pic>
      <xdr:nvPicPr>
        <xdr:cNvPr id="169" name="Obrázek 168">
          <a:extLst>
            <a:ext uri="{FF2B5EF4-FFF2-40B4-BE49-F238E27FC236}">
              <a16:creationId xmlns:a16="http://schemas.microsoft.com/office/drawing/2014/main" id="{4032D1A3-7C8E-4863-B126-42E4576755F3}"/>
            </a:ext>
          </a:extLst>
        </xdr:cNvPr>
        <xdr:cNvPicPr>
          <a:picLocks noChangeAspect="1"/>
        </xdr:cNvPicPr>
      </xdr:nvPicPr>
      <xdr:blipFill rotWithShape="1">
        <a:blip xmlns:r="http://schemas.openxmlformats.org/officeDocument/2006/relationships" r:embed="rId32" cstate="print">
          <a:extLst>
            <a:ext uri="{BEBA8EAE-BF5A-486C-A8C5-ECC9F3942E4B}">
              <a14:imgProps xmlns:a14="http://schemas.microsoft.com/office/drawing/2010/main">
                <a14:imgLayer r:embed="rId33">
                  <a14:imgEffect>
                    <a14:saturation sat="0"/>
                  </a14:imgEffect>
                </a14:imgLayer>
              </a14:imgProps>
            </a:ext>
            <a:ext uri="{28A0092B-C50C-407E-A947-70E740481C1C}">
              <a14:useLocalDpi xmlns:a14="http://schemas.microsoft.com/office/drawing/2010/main" val="0"/>
            </a:ext>
          </a:extLst>
        </a:blip>
        <a:srcRect/>
        <a:stretch/>
      </xdr:blipFill>
      <xdr:spPr>
        <a:xfrm>
          <a:off x="1151659" y="107883614"/>
          <a:ext cx="1480704" cy="985217"/>
        </a:xfrm>
        <a:prstGeom prst="rect">
          <a:avLst/>
        </a:prstGeom>
      </xdr:spPr>
    </xdr:pic>
    <xdr:clientData/>
  </xdr:twoCellAnchor>
  <xdr:twoCellAnchor editAs="oneCell">
    <xdr:from>
      <xdr:col>1</xdr:col>
      <xdr:colOff>231872</xdr:colOff>
      <xdr:row>105</xdr:row>
      <xdr:rowOff>43296</xdr:rowOff>
    </xdr:from>
    <xdr:to>
      <xdr:col>1</xdr:col>
      <xdr:colOff>1774261</xdr:colOff>
      <xdr:row>105</xdr:row>
      <xdr:rowOff>1161358</xdr:rowOff>
    </xdr:to>
    <xdr:pic>
      <xdr:nvPicPr>
        <xdr:cNvPr id="170" name="Obrázek 169">
          <a:extLst>
            <a:ext uri="{FF2B5EF4-FFF2-40B4-BE49-F238E27FC236}">
              <a16:creationId xmlns:a16="http://schemas.microsoft.com/office/drawing/2014/main" id="{2D0FEA55-3E17-4D11-93EC-01BDF3F9FB74}"/>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985213" y="132977660"/>
          <a:ext cx="1551914" cy="1125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646042</xdr:colOff>
      <xdr:row>34</xdr:row>
      <xdr:rowOff>125561</xdr:rowOff>
    </xdr:from>
    <xdr:ext cx="703333" cy="1035297"/>
    <xdr:pic>
      <xdr:nvPicPr>
        <xdr:cNvPr id="171" name="Obrázek 17">
          <a:extLst>
            <a:ext uri="{FF2B5EF4-FFF2-40B4-BE49-F238E27FC236}">
              <a16:creationId xmlns:a16="http://schemas.microsoft.com/office/drawing/2014/main" id="{96476BB1-8847-49D9-8E71-420B500D01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05" y="57533530"/>
          <a:ext cx="703333" cy="1035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63035</xdr:colOff>
      <xdr:row>39</xdr:row>
      <xdr:rowOff>116226</xdr:rowOff>
    </xdr:from>
    <xdr:to>
      <xdr:col>1</xdr:col>
      <xdr:colOff>2074715</xdr:colOff>
      <xdr:row>39</xdr:row>
      <xdr:rowOff>1354476</xdr:rowOff>
    </xdr:to>
    <xdr:pic>
      <xdr:nvPicPr>
        <xdr:cNvPr id="84" name="Obrázek 3">
          <a:extLst>
            <a:ext uri="{FF2B5EF4-FFF2-40B4-BE49-F238E27FC236}">
              <a16:creationId xmlns:a16="http://schemas.microsoft.com/office/drawing/2014/main" id="{503AB5AF-2C52-4EAE-B1C7-9F569A122CA5}"/>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816376" y="57621249"/>
          <a:ext cx="20193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35943</xdr:colOff>
      <xdr:row>32</xdr:row>
      <xdr:rowOff>107830</xdr:rowOff>
    </xdr:from>
    <xdr:to>
      <xdr:col>1</xdr:col>
      <xdr:colOff>1618998</xdr:colOff>
      <xdr:row>32</xdr:row>
      <xdr:rowOff>993655</xdr:rowOff>
    </xdr:to>
    <xdr:pic>
      <xdr:nvPicPr>
        <xdr:cNvPr id="103" name="Obrázek 223">
          <a:extLst>
            <a:ext uri="{FF2B5EF4-FFF2-40B4-BE49-F238E27FC236}">
              <a16:creationId xmlns:a16="http://schemas.microsoft.com/office/drawing/2014/main" id="{D1384E1C-11FF-4782-8EA7-01CD5CC0F438}"/>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790754" y="49646816"/>
          <a:ext cx="1590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740597</xdr:colOff>
      <xdr:row>32</xdr:row>
      <xdr:rowOff>368418</xdr:rowOff>
    </xdr:from>
    <xdr:to>
      <xdr:col>1</xdr:col>
      <xdr:colOff>1963533</xdr:colOff>
      <xdr:row>32</xdr:row>
      <xdr:rowOff>1356324</xdr:rowOff>
    </xdr:to>
    <xdr:pic>
      <xdr:nvPicPr>
        <xdr:cNvPr id="93" name="Obrázek 92">
          <a:extLst>
            <a:ext uri="{FF2B5EF4-FFF2-40B4-BE49-F238E27FC236}">
              <a16:creationId xmlns:a16="http://schemas.microsoft.com/office/drawing/2014/main" id="{C2C5D013-A2C2-46C8-BC7A-290A8472F687}"/>
            </a:ext>
          </a:extLst>
        </xdr:cNvPr>
        <xdr:cNvPicPr>
          <a:picLocks noChangeAspect="1" noChangeArrowheads="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l="88452" t="63091" b="26136"/>
        <a:stretch/>
      </xdr:blipFill>
      <xdr:spPr bwMode="auto">
        <a:xfrm>
          <a:off x="1216847" y="61454220"/>
          <a:ext cx="1222936" cy="997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278317</xdr:colOff>
      <xdr:row>19</xdr:row>
      <xdr:rowOff>166213</xdr:rowOff>
    </xdr:from>
    <xdr:ext cx="1731074" cy="1198066"/>
    <xdr:pic>
      <xdr:nvPicPr>
        <xdr:cNvPr id="85" name="Obrázek 103">
          <a:extLst>
            <a:ext uri="{FF2B5EF4-FFF2-40B4-BE49-F238E27FC236}">
              <a16:creationId xmlns:a16="http://schemas.microsoft.com/office/drawing/2014/main" id="{B2120503-517A-423E-BC42-CC545885745B}"/>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xdr:blipFill>
      <xdr:spPr bwMode="auto">
        <a:xfrm>
          <a:off x="1364167" y="31598713"/>
          <a:ext cx="1731074" cy="1198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583516</xdr:colOff>
      <xdr:row>33</xdr:row>
      <xdr:rowOff>74268</xdr:rowOff>
    </xdr:from>
    <xdr:ext cx="863245" cy="902162"/>
    <xdr:pic>
      <xdr:nvPicPr>
        <xdr:cNvPr id="95" name="Obrázek 17">
          <a:extLst>
            <a:ext uri="{FF2B5EF4-FFF2-40B4-BE49-F238E27FC236}">
              <a16:creationId xmlns:a16="http://schemas.microsoft.com/office/drawing/2014/main" id="{782A6BB8-3983-4B7F-B654-06FB654285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579" y="56271768"/>
          <a:ext cx="863245" cy="90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458931</xdr:colOff>
      <xdr:row>50</xdr:row>
      <xdr:rowOff>242455</xdr:rowOff>
    </xdr:from>
    <xdr:to>
      <xdr:col>1</xdr:col>
      <xdr:colOff>1592406</xdr:colOff>
      <xdr:row>50</xdr:row>
      <xdr:rowOff>1899805</xdr:rowOff>
    </xdr:to>
    <xdr:pic>
      <xdr:nvPicPr>
        <xdr:cNvPr id="104" name="Picture 2" descr="S80 5OH-D">
          <a:extLst>
            <a:ext uri="{FF2B5EF4-FFF2-40B4-BE49-F238E27FC236}">
              <a16:creationId xmlns:a16="http://schemas.microsoft.com/office/drawing/2014/main" id="{6D282413-F8B0-4E4F-9F95-DA5F0E883EAF}"/>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212994" y="81006518"/>
          <a:ext cx="113347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493569</xdr:colOff>
      <xdr:row>101</xdr:row>
      <xdr:rowOff>112568</xdr:rowOff>
    </xdr:from>
    <xdr:ext cx="770659" cy="984214"/>
    <xdr:pic>
      <xdr:nvPicPr>
        <xdr:cNvPr id="115" name="Obrázek 19">
          <a:extLst>
            <a:ext uri="{FF2B5EF4-FFF2-40B4-BE49-F238E27FC236}">
              <a16:creationId xmlns:a16="http://schemas.microsoft.com/office/drawing/2014/main" id="{91FC561B-B94B-4426-892D-69BEA62EB05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7632" y="163119052"/>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493569</xdr:colOff>
      <xdr:row>101</xdr:row>
      <xdr:rowOff>112568</xdr:rowOff>
    </xdr:from>
    <xdr:ext cx="770659" cy="984214"/>
    <xdr:pic>
      <xdr:nvPicPr>
        <xdr:cNvPr id="116" name="Obrázek 19">
          <a:extLst>
            <a:ext uri="{FF2B5EF4-FFF2-40B4-BE49-F238E27FC236}">
              <a16:creationId xmlns:a16="http://schemas.microsoft.com/office/drawing/2014/main" id="{6486CEC8-4464-4C4D-92C3-E3D9B1B5403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7632" y="163119052"/>
          <a:ext cx="770659" cy="984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615156</xdr:colOff>
      <xdr:row>56</xdr:row>
      <xdr:rowOff>218282</xdr:rowOff>
    </xdr:from>
    <xdr:ext cx="766281" cy="1635355"/>
    <xdr:pic>
      <xdr:nvPicPr>
        <xdr:cNvPr id="118" name="Obrázek 117">
          <a:extLst>
            <a:ext uri="{FF2B5EF4-FFF2-40B4-BE49-F238E27FC236}">
              <a16:creationId xmlns:a16="http://schemas.microsoft.com/office/drawing/2014/main" id="{027D2BB7-261B-4BAF-915A-F95627E1EFAC}"/>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1369219" y="91697970"/>
          <a:ext cx="766281" cy="1635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19050</xdr:colOff>
      <xdr:row>80</xdr:row>
      <xdr:rowOff>95250</xdr:rowOff>
    </xdr:from>
    <xdr:to>
      <xdr:col>1</xdr:col>
      <xdr:colOff>762000</xdr:colOff>
      <xdr:row>80</xdr:row>
      <xdr:rowOff>1274445</xdr:rowOff>
    </xdr:to>
    <xdr:pic>
      <xdr:nvPicPr>
        <xdr:cNvPr id="119" name="Obrázek 11">
          <a:extLst>
            <a:ext uri="{FF2B5EF4-FFF2-40B4-BE49-F238E27FC236}">
              <a16:creationId xmlns:a16="http://schemas.microsoft.com/office/drawing/2014/main" id="{23838E7B-E173-4FC5-BB9B-E9C6004BAAF8}"/>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590800" y="182270400"/>
          <a:ext cx="74295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819150</xdr:colOff>
      <xdr:row>80</xdr:row>
      <xdr:rowOff>95250</xdr:rowOff>
    </xdr:from>
    <xdr:to>
      <xdr:col>1</xdr:col>
      <xdr:colOff>2019300</xdr:colOff>
      <xdr:row>80</xdr:row>
      <xdr:rowOff>1714500</xdr:rowOff>
    </xdr:to>
    <xdr:pic>
      <xdr:nvPicPr>
        <xdr:cNvPr id="120" name="Obrázek 1">
          <a:extLst>
            <a:ext uri="{FF2B5EF4-FFF2-40B4-BE49-F238E27FC236}">
              <a16:creationId xmlns:a16="http://schemas.microsoft.com/office/drawing/2014/main" id="{D7E4D65B-4516-45C5-A79C-866BB8FB2256}"/>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3390900" y="182270400"/>
          <a:ext cx="120015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873125</xdr:colOff>
      <xdr:row>74</xdr:row>
      <xdr:rowOff>158750</xdr:rowOff>
    </xdr:from>
    <xdr:ext cx="416985" cy="1823224"/>
    <xdr:pic>
      <xdr:nvPicPr>
        <xdr:cNvPr id="121" name="Obrázek 20">
          <a:extLst>
            <a:ext uri="{FF2B5EF4-FFF2-40B4-BE49-F238E27FC236}">
              <a16:creationId xmlns:a16="http://schemas.microsoft.com/office/drawing/2014/main" id="{D371109A-0CB8-4C1C-A4E9-4E1129D45969}"/>
            </a:ext>
          </a:extLst>
        </xdr:cNvPr>
        <xdr:cNvPicPr>
          <a:picLocks noChangeAspect="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a:stretch/>
      </xdr:blipFill>
      <xdr:spPr bwMode="auto">
        <a:xfrm>
          <a:off x="1627188" y="129807891"/>
          <a:ext cx="416985" cy="1823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506016</xdr:colOff>
      <xdr:row>20</xdr:row>
      <xdr:rowOff>168671</xdr:rowOff>
    </xdr:from>
    <xdr:ext cx="1230312" cy="1416383"/>
    <xdr:pic>
      <xdr:nvPicPr>
        <xdr:cNvPr id="125" name="Obrázek 124">
          <a:extLst>
            <a:ext uri="{FF2B5EF4-FFF2-40B4-BE49-F238E27FC236}">
              <a16:creationId xmlns:a16="http://schemas.microsoft.com/office/drawing/2014/main" id="{1ED11AA4-2AB0-40BC-A53F-2CF815E7828F}"/>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1260079" y="36552187"/>
          <a:ext cx="1230312" cy="14163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218281</xdr:colOff>
      <xdr:row>18</xdr:row>
      <xdr:rowOff>436563</xdr:rowOff>
    </xdr:from>
    <xdr:to>
      <xdr:col>1</xdr:col>
      <xdr:colOff>1961039</xdr:colOff>
      <xdr:row>18</xdr:row>
      <xdr:rowOff>1348899</xdr:rowOff>
    </xdr:to>
    <xdr:pic>
      <xdr:nvPicPr>
        <xdr:cNvPr id="127" name="Obrázek 126">
          <a:extLst>
            <a:ext uri="{FF2B5EF4-FFF2-40B4-BE49-F238E27FC236}">
              <a16:creationId xmlns:a16="http://schemas.microsoft.com/office/drawing/2014/main" id="{D83EA725-3439-4577-9044-BA468D1543FD}"/>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972344" y="32742188"/>
          <a:ext cx="1754188" cy="919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190368</xdr:colOff>
      <xdr:row>88</xdr:row>
      <xdr:rowOff>59532</xdr:rowOff>
    </xdr:from>
    <xdr:to>
      <xdr:col>1</xdr:col>
      <xdr:colOff>2073275</xdr:colOff>
      <xdr:row>88</xdr:row>
      <xdr:rowOff>2169055</xdr:rowOff>
    </xdr:to>
    <xdr:pic>
      <xdr:nvPicPr>
        <xdr:cNvPr id="10" name="Obrázek 9">
          <a:extLst>
            <a:ext uri="{FF2B5EF4-FFF2-40B4-BE49-F238E27FC236}">
              <a16:creationId xmlns:a16="http://schemas.microsoft.com/office/drawing/2014/main" id="{2925DA14-2533-4FFE-99D4-C8B77245F58F}"/>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944431" y="151953516"/>
          <a:ext cx="1873382" cy="2109523"/>
        </a:xfrm>
        <a:prstGeom prst="rect">
          <a:avLst/>
        </a:prstGeom>
      </xdr:spPr>
    </xdr:pic>
    <xdr:clientData/>
  </xdr:twoCellAnchor>
  <xdr:oneCellAnchor>
    <xdr:from>
      <xdr:col>1</xdr:col>
      <xdr:colOff>31931</xdr:colOff>
      <xdr:row>85</xdr:row>
      <xdr:rowOff>436562</xdr:rowOff>
    </xdr:from>
    <xdr:ext cx="2196000" cy="1100426"/>
    <xdr:pic>
      <xdr:nvPicPr>
        <xdr:cNvPr id="128" name="Obrázek 127">
          <a:extLst>
            <a:ext uri="{FF2B5EF4-FFF2-40B4-BE49-F238E27FC236}">
              <a16:creationId xmlns:a16="http://schemas.microsoft.com/office/drawing/2014/main" id="{8E4C438E-7D62-47C8-A073-A026639ED873}"/>
            </a:ext>
          </a:extLst>
        </xdr:cNvPr>
        <xdr:cNvPicPr>
          <a:picLocks noChangeAspect="1"/>
        </xdr:cNvPicPr>
      </xdr:nvPicPr>
      <xdr:blipFill rotWithShape="1">
        <a:blip xmlns:r="http://schemas.openxmlformats.org/officeDocument/2006/relationships" r:embed="rId46" cstate="print">
          <a:extLst>
            <a:ext uri="{28A0092B-C50C-407E-A947-70E740481C1C}">
              <a14:useLocalDpi xmlns:a14="http://schemas.microsoft.com/office/drawing/2010/main" val="0"/>
            </a:ext>
          </a:extLst>
        </a:blip>
        <a:srcRect/>
        <a:stretch/>
      </xdr:blipFill>
      <xdr:spPr>
        <a:xfrm>
          <a:off x="779592" y="145769627"/>
          <a:ext cx="2196000" cy="1100426"/>
        </a:xfrm>
        <a:prstGeom prst="rect">
          <a:avLst/>
        </a:prstGeom>
      </xdr:spPr>
    </xdr:pic>
    <xdr:clientData/>
  </xdr:oneCellAnchor>
  <xdr:twoCellAnchor editAs="oneCell">
    <xdr:from>
      <xdr:col>1</xdr:col>
      <xdr:colOff>695324</xdr:colOff>
      <xdr:row>104</xdr:row>
      <xdr:rowOff>39012</xdr:rowOff>
    </xdr:from>
    <xdr:to>
      <xdr:col>1</xdr:col>
      <xdr:colOff>1390754</xdr:colOff>
      <xdr:row>104</xdr:row>
      <xdr:rowOff>931898</xdr:rowOff>
    </xdr:to>
    <xdr:pic>
      <xdr:nvPicPr>
        <xdr:cNvPr id="131" name="Obrázek 130" descr="Dílenská skříň Kovos SPD 11A (3 modely)">
          <a:extLst>
            <a:ext uri="{FF2B5EF4-FFF2-40B4-BE49-F238E27FC236}">
              <a16:creationId xmlns:a16="http://schemas.microsoft.com/office/drawing/2014/main" id="{75D4ACD1-03B4-4F85-A88F-919FEF98E0C1}"/>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1447799" y="170412687"/>
          <a:ext cx="684000" cy="89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657225</xdr:colOff>
      <xdr:row>103</xdr:row>
      <xdr:rowOff>28575</xdr:rowOff>
    </xdr:from>
    <xdr:to>
      <xdr:col>1</xdr:col>
      <xdr:colOff>1352655</xdr:colOff>
      <xdr:row>103</xdr:row>
      <xdr:rowOff>930986</xdr:rowOff>
    </xdr:to>
    <xdr:pic>
      <xdr:nvPicPr>
        <xdr:cNvPr id="132" name="Obrázek 131" descr="Dílenská skříň Kovos SPD 11A (3 modely)">
          <a:extLst>
            <a:ext uri="{FF2B5EF4-FFF2-40B4-BE49-F238E27FC236}">
              <a16:creationId xmlns:a16="http://schemas.microsoft.com/office/drawing/2014/main" id="{392D1729-339C-403A-AFA2-38F91BF415C4}"/>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1409700" y="169430700"/>
          <a:ext cx="684000" cy="89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231872</xdr:colOff>
      <xdr:row>106</xdr:row>
      <xdr:rowOff>43296</xdr:rowOff>
    </xdr:from>
    <xdr:ext cx="1551914" cy="1125682"/>
    <xdr:pic>
      <xdr:nvPicPr>
        <xdr:cNvPr id="133" name="Obrázek 132">
          <a:extLst>
            <a:ext uri="{FF2B5EF4-FFF2-40B4-BE49-F238E27FC236}">
              <a16:creationId xmlns:a16="http://schemas.microsoft.com/office/drawing/2014/main" id="{7C94BB3F-EB05-442E-A3D8-9F18A229A781}"/>
            </a:ext>
          </a:extLst>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984347" y="171388521"/>
          <a:ext cx="1551914" cy="11256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609600</xdr:colOff>
      <xdr:row>109</xdr:row>
      <xdr:rowOff>66675</xdr:rowOff>
    </xdr:from>
    <xdr:to>
      <xdr:col>1</xdr:col>
      <xdr:colOff>1693545</xdr:colOff>
      <xdr:row>109</xdr:row>
      <xdr:rowOff>1996440</xdr:rowOff>
    </xdr:to>
    <xdr:pic>
      <xdr:nvPicPr>
        <xdr:cNvPr id="134" name="Picture 104">
          <a:extLst>
            <a:ext uri="{FF2B5EF4-FFF2-40B4-BE49-F238E27FC236}">
              <a16:creationId xmlns:a16="http://schemas.microsoft.com/office/drawing/2014/main" id="{D26DF31C-B986-4AA8-8E01-B279FA94FEBE}"/>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1362075" y="971550"/>
          <a:ext cx="1095375" cy="1924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619125</xdr:colOff>
      <xdr:row>110</xdr:row>
      <xdr:rowOff>247650</xdr:rowOff>
    </xdr:from>
    <xdr:to>
      <xdr:col>1</xdr:col>
      <xdr:colOff>1657350</xdr:colOff>
      <xdr:row>110</xdr:row>
      <xdr:rowOff>2152650</xdr:rowOff>
    </xdr:to>
    <xdr:pic>
      <xdr:nvPicPr>
        <xdr:cNvPr id="136" name="Picture 106">
          <a:extLst>
            <a:ext uri="{FF2B5EF4-FFF2-40B4-BE49-F238E27FC236}">
              <a16:creationId xmlns:a16="http://schemas.microsoft.com/office/drawing/2014/main" id="{C6B1E2EF-7095-4188-AE33-530AAA17D848}"/>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704975" y="204044550"/>
          <a:ext cx="1038225" cy="1905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647700</xdr:colOff>
      <xdr:row>113</xdr:row>
      <xdr:rowOff>133350</xdr:rowOff>
    </xdr:from>
    <xdr:to>
      <xdr:col>1</xdr:col>
      <xdr:colOff>1539240</xdr:colOff>
      <xdr:row>113</xdr:row>
      <xdr:rowOff>1849755</xdr:rowOff>
    </xdr:to>
    <xdr:pic>
      <xdr:nvPicPr>
        <xdr:cNvPr id="137" name="Picture 107">
          <a:extLst>
            <a:ext uri="{FF2B5EF4-FFF2-40B4-BE49-F238E27FC236}">
              <a16:creationId xmlns:a16="http://schemas.microsoft.com/office/drawing/2014/main" id="{8BEF0CA6-9D43-420E-A2B6-684280911EBA}"/>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1733550" y="209273775"/>
          <a:ext cx="885825" cy="1704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38100</xdr:colOff>
      <xdr:row>126</xdr:row>
      <xdr:rowOff>76200</xdr:rowOff>
    </xdr:from>
    <xdr:to>
      <xdr:col>1</xdr:col>
      <xdr:colOff>2148840</xdr:colOff>
      <xdr:row>126</xdr:row>
      <xdr:rowOff>2186940</xdr:rowOff>
    </xdr:to>
    <xdr:pic>
      <xdr:nvPicPr>
        <xdr:cNvPr id="144" name="Picture 109">
          <a:extLst>
            <a:ext uri="{FF2B5EF4-FFF2-40B4-BE49-F238E27FC236}">
              <a16:creationId xmlns:a16="http://schemas.microsoft.com/office/drawing/2014/main" id="{E7DF4A20-7C79-45DA-944C-ACF352208A27}"/>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790575" y="12468225"/>
          <a:ext cx="2105025" cy="2105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142875</xdr:colOff>
      <xdr:row>130</xdr:row>
      <xdr:rowOff>19050</xdr:rowOff>
    </xdr:from>
    <xdr:to>
      <xdr:col>1</xdr:col>
      <xdr:colOff>2114550</xdr:colOff>
      <xdr:row>130</xdr:row>
      <xdr:rowOff>1543827</xdr:rowOff>
    </xdr:to>
    <xdr:pic>
      <xdr:nvPicPr>
        <xdr:cNvPr id="156" name="Picture 92">
          <a:extLst>
            <a:ext uri="{FF2B5EF4-FFF2-40B4-BE49-F238E27FC236}">
              <a16:creationId xmlns:a16="http://schemas.microsoft.com/office/drawing/2014/main" id="{F47035BB-C7B1-415A-9501-A110AC3CDA30}"/>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590550" y="230876475"/>
          <a:ext cx="1971675" cy="151334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523875</xdr:colOff>
      <xdr:row>132</xdr:row>
      <xdr:rowOff>76200</xdr:rowOff>
    </xdr:from>
    <xdr:to>
      <xdr:col>1</xdr:col>
      <xdr:colOff>1694254</xdr:colOff>
      <xdr:row>132</xdr:row>
      <xdr:rowOff>1295534</xdr:rowOff>
    </xdr:to>
    <xdr:pic>
      <xdr:nvPicPr>
        <xdr:cNvPr id="157" name="Picture 113">
          <a:extLst>
            <a:ext uri="{FF2B5EF4-FFF2-40B4-BE49-F238E27FC236}">
              <a16:creationId xmlns:a16="http://schemas.microsoft.com/office/drawing/2014/main" id="{1725DC55-7A14-446B-B13B-87BB19D83E71}"/>
            </a:ext>
          </a:extLst>
        </xdr:cNvPr>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971550" y="216017475"/>
          <a:ext cx="1185619" cy="121933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257175</xdr:colOff>
      <xdr:row>131</xdr:row>
      <xdr:rowOff>142875</xdr:rowOff>
    </xdr:from>
    <xdr:to>
      <xdr:col>1</xdr:col>
      <xdr:colOff>2019080</xdr:colOff>
      <xdr:row>131</xdr:row>
      <xdr:rowOff>1927637</xdr:rowOff>
    </xdr:to>
    <xdr:pic>
      <xdr:nvPicPr>
        <xdr:cNvPr id="172" name="Picture 115">
          <a:extLst>
            <a:ext uri="{FF2B5EF4-FFF2-40B4-BE49-F238E27FC236}">
              <a16:creationId xmlns:a16="http://schemas.microsoft.com/office/drawing/2014/main" id="{48068406-104B-40E3-93DC-77EF76CE2F7F}"/>
            </a:ext>
          </a:extLst>
        </xdr:cNvPr>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704850" y="214017225"/>
          <a:ext cx="1761905" cy="178095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772884</xdr:colOff>
      <xdr:row>116</xdr:row>
      <xdr:rowOff>44903</xdr:rowOff>
    </xdr:from>
    <xdr:to>
      <xdr:col>1</xdr:col>
      <xdr:colOff>1430675</xdr:colOff>
      <xdr:row>116</xdr:row>
      <xdr:rowOff>764903</xdr:rowOff>
    </xdr:to>
    <xdr:pic>
      <xdr:nvPicPr>
        <xdr:cNvPr id="181" name="Picture 37">
          <a:extLst>
            <a:ext uri="{FF2B5EF4-FFF2-40B4-BE49-F238E27FC236}">
              <a16:creationId xmlns:a16="http://schemas.microsoft.com/office/drawing/2014/main" id="{2EEA12DF-B207-45B9-AD41-1C799243C14E}"/>
            </a:ext>
          </a:extLst>
        </xdr:cNvPr>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1858734" y="214690778"/>
          <a:ext cx="667316" cy="720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713015</xdr:colOff>
      <xdr:row>115</xdr:row>
      <xdr:rowOff>59871</xdr:rowOff>
    </xdr:from>
    <xdr:to>
      <xdr:col>1</xdr:col>
      <xdr:colOff>1581013</xdr:colOff>
      <xdr:row>115</xdr:row>
      <xdr:rowOff>743871</xdr:rowOff>
    </xdr:to>
    <xdr:pic>
      <xdr:nvPicPr>
        <xdr:cNvPr id="182" name="Picture 36">
          <a:extLst>
            <a:ext uri="{FF2B5EF4-FFF2-40B4-BE49-F238E27FC236}">
              <a16:creationId xmlns:a16="http://schemas.microsoft.com/office/drawing/2014/main" id="{04F419FC-2EAF-4D92-81FB-17995A2BDE85}"/>
            </a:ext>
          </a:extLst>
        </xdr:cNvPr>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1798865" y="213896121"/>
          <a:ext cx="879428" cy="684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1</xdr:col>
      <xdr:colOff>657225</xdr:colOff>
      <xdr:row>112</xdr:row>
      <xdr:rowOff>28579</xdr:rowOff>
    </xdr:from>
    <xdr:ext cx="720000" cy="1388110"/>
    <xdr:pic>
      <xdr:nvPicPr>
        <xdr:cNvPr id="183" name="Picture 110">
          <a:extLst>
            <a:ext uri="{FF2B5EF4-FFF2-40B4-BE49-F238E27FC236}">
              <a16:creationId xmlns:a16="http://schemas.microsoft.com/office/drawing/2014/main" id="{08F42187-5FBB-46B7-9152-A8AFED8B738C}"/>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1104900" y="184556404"/>
          <a:ext cx="720000" cy="138811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xdr:col>
      <xdr:colOff>714381</xdr:colOff>
      <xdr:row>111</xdr:row>
      <xdr:rowOff>28581</xdr:rowOff>
    </xdr:from>
    <xdr:ext cx="708951" cy="1404000"/>
    <xdr:pic>
      <xdr:nvPicPr>
        <xdr:cNvPr id="184" name="Picture 112">
          <a:extLst>
            <a:ext uri="{FF2B5EF4-FFF2-40B4-BE49-F238E27FC236}">
              <a16:creationId xmlns:a16="http://schemas.microsoft.com/office/drawing/2014/main" id="{100B2A7C-1C29-47B4-A21D-7E13470A1809}"/>
            </a:ext>
          </a:extLst>
        </xdr:cNvPr>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bwMode="auto">
        <a:xfrm>
          <a:off x="1162056" y="182775231"/>
          <a:ext cx="708951" cy="1404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xdr:col>
      <xdr:colOff>781052</xdr:colOff>
      <xdr:row>117</xdr:row>
      <xdr:rowOff>76203</xdr:rowOff>
    </xdr:from>
    <xdr:ext cx="648712" cy="1260000"/>
    <xdr:pic>
      <xdr:nvPicPr>
        <xdr:cNvPr id="185" name="Picture 78">
          <a:extLst>
            <a:ext uri="{FF2B5EF4-FFF2-40B4-BE49-F238E27FC236}">
              <a16:creationId xmlns:a16="http://schemas.microsoft.com/office/drawing/2014/main" id="{7306E0AB-E4AB-4EA8-ABED-E6261ED16A4C}"/>
            </a:ext>
          </a:extLst>
        </xdr:cNvPr>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bwMode="auto">
        <a:xfrm>
          <a:off x="1866902" y="215531703"/>
          <a:ext cx="648712" cy="1260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xdr:col>
      <xdr:colOff>800102</xdr:colOff>
      <xdr:row>118</xdr:row>
      <xdr:rowOff>85727</xdr:rowOff>
    </xdr:from>
    <xdr:ext cx="541801" cy="1260000"/>
    <xdr:pic>
      <xdr:nvPicPr>
        <xdr:cNvPr id="186" name="Picture 80">
          <a:extLst>
            <a:ext uri="{FF2B5EF4-FFF2-40B4-BE49-F238E27FC236}">
              <a16:creationId xmlns:a16="http://schemas.microsoft.com/office/drawing/2014/main" id="{16EB532F-FF8A-4964-836A-C729077EEF7B}"/>
            </a:ext>
          </a:extLst>
        </xdr:cNvPr>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val="0"/>
            </a:ext>
          </a:extLst>
        </a:blip>
        <a:srcRect/>
        <a:stretch>
          <a:fillRect/>
        </a:stretch>
      </xdr:blipFill>
      <xdr:spPr bwMode="auto">
        <a:xfrm>
          <a:off x="1885952" y="216998552"/>
          <a:ext cx="541801" cy="1260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xdr:col>
      <xdr:colOff>28575</xdr:colOff>
      <xdr:row>119</xdr:row>
      <xdr:rowOff>180975</xdr:rowOff>
    </xdr:from>
    <xdr:ext cx="2200275" cy="2781300"/>
    <xdr:pic>
      <xdr:nvPicPr>
        <xdr:cNvPr id="187" name="Picture 83">
          <a:extLst>
            <a:ext uri="{FF2B5EF4-FFF2-40B4-BE49-F238E27FC236}">
              <a16:creationId xmlns:a16="http://schemas.microsoft.com/office/drawing/2014/main" id="{562BD4D7-1AC2-4983-B001-5AAFCB28932C}"/>
            </a:ext>
          </a:extLst>
        </xdr:cNvPr>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bwMode="auto">
        <a:xfrm>
          <a:off x="476250" y="204549375"/>
          <a:ext cx="2200275" cy="2781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xdr:col>
      <xdr:colOff>104775</xdr:colOff>
      <xdr:row>128</xdr:row>
      <xdr:rowOff>171450</xdr:rowOff>
    </xdr:from>
    <xdr:ext cx="2008572" cy="3085238"/>
    <xdr:pic>
      <xdr:nvPicPr>
        <xdr:cNvPr id="191" name="Picture 108">
          <a:extLst>
            <a:ext uri="{FF2B5EF4-FFF2-40B4-BE49-F238E27FC236}">
              <a16:creationId xmlns:a16="http://schemas.microsoft.com/office/drawing/2014/main" id="{504E1BF0-9D05-4E5F-BA6A-F23679C2640D}"/>
            </a:ext>
          </a:extLst>
        </xdr:cNvPr>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bwMode="auto">
        <a:xfrm>
          <a:off x="552450" y="229038150"/>
          <a:ext cx="2008572" cy="30852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1</xdr:col>
      <xdr:colOff>42334</xdr:colOff>
      <xdr:row>124</xdr:row>
      <xdr:rowOff>52917</xdr:rowOff>
    </xdr:from>
    <xdr:to>
      <xdr:col>1</xdr:col>
      <xdr:colOff>2231179</xdr:colOff>
      <xdr:row>124</xdr:row>
      <xdr:rowOff>1355937</xdr:rowOff>
    </xdr:to>
    <xdr:pic>
      <xdr:nvPicPr>
        <xdr:cNvPr id="138" name="Picture 116">
          <a:extLst>
            <a:ext uri="{FF2B5EF4-FFF2-40B4-BE49-F238E27FC236}">
              <a16:creationId xmlns:a16="http://schemas.microsoft.com/office/drawing/2014/main" id="{7D504190-9D2D-4948-A84F-E232B04474A5}"/>
            </a:ext>
          </a:extLst>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486834" y="196109167"/>
          <a:ext cx="2181225" cy="1295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1</xdr:col>
      <xdr:colOff>488193</xdr:colOff>
      <xdr:row>24</xdr:row>
      <xdr:rowOff>86772</xdr:rowOff>
    </xdr:from>
    <xdr:ext cx="863245" cy="840441"/>
    <xdr:pic>
      <xdr:nvPicPr>
        <xdr:cNvPr id="139" name="Obrázek 17">
          <a:extLst>
            <a:ext uri="{FF2B5EF4-FFF2-40B4-BE49-F238E27FC236}">
              <a16:creationId xmlns:a16="http://schemas.microsoft.com/office/drawing/2014/main" id="{41B676D1-FE2D-4967-88B5-6CB78DA98A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456" y="44012061"/>
          <a:ext cx="863245" cy="84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556846</xdr:colOff>
      <xdr:row>92</xdr:row>
      <xdr:rowOff>51289</xdr:rowOff>
    </xdr:from>
    <xdr:to>
      <xdr:col>1</xdr:col>
      <xdr:colOff>1277771</xdr:colOff>
      <xdr:row>92</xdr:row>
      <xdr:rowOff>1125123</xdr:rowOff>
    </xdr:to>
    <xdr:pic>
      <xdr:nvPicPr>
        <xdr:cNvPr id="5" name="Obrázek 4">
          <a:extLst>
            <a:ext uri="{FF2B5EF4-FFF2-40B4-BE49-F238E27FC236}">
              <a16:creationId xmlns:a16="http://schemas.microsoft.com/office/drawing/2014/main" id="{195F767B-E4DA-44EE-8AA9-27A0933C2815}"/>
            </a:ext>
          </a:extLst>
        </xdr:cNvPr>
        <xdr:cNvPicPr>
          <a:picLocks noChangeAspect="1"/>
        </xdr:cNvPicPr>
      </xdr:nvPicPr>
      <xdr:blipFill>
        <a:blip xmlns:r="http://schemas.openxmlformats.org/officeDocument/2006/relationships" r:embed="rId65" cstate="print"/>
        <a:stretch>
          <a:fillRect/>
        </a:stretch>
      </xdr:blipFill>
      <xdr:spPr>
        <a:xfrm>
          <a:off x="1003788" y="156576347"/>
          <a:ext cx="705685" cy="1062404"/>
        </a:xfrm>
        <a:prstGeom prst="rect">
          <a:avLst/>
        </a:prstGeom>
      </xdr:spPr>
    </xdr:pic>
    <xdr:clientData/>
  </xdr:twoCellAnchor>
  <xdr:twoCellAnchor editAs="oneCell">
    <xdr:from>
      <xdr:col>1</xdr:col>
      <xdr:colOff>79375</xdr:colOff>
      <xdr:row>107</xdr:row>
      <xdr:rowOff>79375</xdr:rowOff>
    </xdr:from>
    <xdr:to>
      <xdr:col>1</xdr:col>
      <xdr:colOff>1236028</xdr:colOff>
      <xdr:row>107</xdr:row>
      <xdr:rowOff>1160852</xdr:rowOff>
    </xdr:to>
    <xdr:pic>
      <xdr:nvPicPr>
        <xdr:cNvPr id="142" name="Obrázek 141">
          <a:extLst>
            <a:ext uri="{FF2B5EF4-FFF2-40B4-BE49-F238E27FC236}">
              <a16:creationId xmlns:a16="http://schemas.microsoft.com/office/drawing/2014/main" id="{B310D7C3-A78E-4788-A76A-53345CC7EB1F}"/>
            </a:ext>
          </a:extLst>
        </xdr:cNvPr>
        <xdr:cNvPicPr>
          <a:picLocks noChangeAspect="1"/>
        </xdr:cNvPicPr>
      </xdr:nvPicPr>
      <xdr:blipFill>
        <a:blip xmlns:r="http://schemas.openxmlformats.org/officeDocument/2006/relationships" r:embed="rId66" cstate="print">
          <a:grayscl/>
        </a:blip>
        <a:stretch>
          <a:fillRect/>
        </a:stretch>
      </xdr:blipFill>
      <xdr:spPr>
        <a:xfrm>
          <a:off x="525859" y="174238047"/>
          <a:ext cx="1150938" cy="1089097"/>
        </a:xfrm>
        <a:prstGeom prst="rect">
          <a:avLst/>
        </a:prstGeom>
      </xdr:spPr>
    </xdr:pic>
    <xdr:clientData/>
  </xdr:twoCellAnchor>
  <xdr:twoCellAnchor editAs="oneCell">
    <xdr:from>
      <xdr:col>1</xdr:col>
      <xdr:colOff>1279922</xdr:colOff>
      <xdr:row>107</xdr:row>
      <xdr:rowOff>218548</xdr:rowOff>
    </xdr:from>
    <xdr:to>
      <xdr:col>1</xdr:col>
      <xdr:colOff>2151540</xdr:colOff>
      <xdr:row>107</xdr:row>
      <xdr:rowOff>1085550</xdr:rowOff>
    </xdr:to>
    <xdr:pic>
      <xdr:nvPicPr>
        <xdr:cNvPr id="6" name="Obrázek 5">
          <a:extLst>
            <a:ext uri="{FF2B5EF4-FFF2-40B4-BE49-F238E27FC236}">
              <a16:creationId xmlns:a16="http://schemas.microsoft.com/office/drawing/2014/main" id="{5017AC32-DC4B-4F4F-8652-D91626F587AA}"/>
            </a:ext>
          </a:extLst>
        </xdr:cNvPr>
        <xdr:cNvPicPr>
          <a:picLocks noChangeAspect="1"/>
        </xdr:cNvPicPr>
      </xdr:nvPicPr>
      <xdr:blipFill>
        <a:blip xmlns:r="http://schemas.openxmlformats.org/officeDocument/2006/relationships" r:embed="rId67" cstate="print"/>
        <a:stretch>
          <a:fillRect/>
        </a:stretch>
      </xdr:blipFill>
      <xdr:spPr>
        <a:xfrm>
          <a:off x="1726406" y="174377220"/>
          <a:ext cx="883048" cy="874622"/>
        </a:xfrm>
        <a:prstGeom prst="rect">
          <a:avLst/>
        </a:prstGeom>
      </xdr:spPr>
    </xdr:pic>
    <xdr:clientData/>
  </xdr:twoCellAnchor>
  <xdr:twoCellAnchor editAs="oneCell">
    <xdr:from>
      <xdr:col>1</xdr:col>
      <xdr:colOff>1318846</xdr:colOff>
      <xdr:row>108</xdr:row>
      <xdr:rowOff>183172</xdr:rowOff>
    </xdr:from>
    <xdr:to>
      <xdr:col>1</xdr:col>
      <xdr:colOff>2075462</xdr:colOff>
      <xdr:row>108</xdr:row>
      <xdr:rowOff>1732963</xdr:rowOff>
    </xdr:to>
    <xdr:pic>
      <xdr:nvPicPr>
        <xdr:cNvPr id="151" name="Obrázek 150" descr="Skříň na 3 zbraně TZ 3-2 (14)">
          <a:extLst>
            <a:ext uri="{FF2B5EF4-FFF2-40B4-BE49-F238E27FC236}">
              <a16:creationId xmlns:a16="http://schemas.microsoft.com/office/drawing/2014/main" id="{41C11280-870B-4203-8587-95C34BD96CF0}"/>
            </a:ext>
          </a:extLst>
        </xdr:cNvPr>
        <xdr:cNvPicPr>
          <a:picLocks noChangeAspect="1" noChangeArrowheads="1"/>
        </xdr:cNvPicPr>
      </xdr:nvPicPr>
      <xdr:blipFill rotWithShape="1">
        <a:blip xmlns:r="http://schemas.openxmlformats.org/officeDocument/2006/relationships" r:embed="rId68" cstate="print">
          <a:extLst>
            <a:ext uri="{28A0092B-C50C-407E-A947-70E740481C1C}">
              <a14:useLocalDpi xmlns:a14="http://schemas.microsoft.com/office/drawing/2010/main" val="0"/>
            </a:ext>
          </a:extLst>
        </a:blip>
        <a:srcRect/>
        <a:stretch/>
      </xdr:blipFill>
      <xdr:spPr bwMode="auto">
        <a:xfrm>
          <a:off x="1795096" y="175655653"/>
          <a:ext cx="764236" cy="1545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161193</xdr:colOff>
      <xdr:row>108</xdr:row>
      <xdr:rowOff>124557</xdr:rowOff>
    </xdr:from>
    <xdr:to>
      <xdr:col>1</xdr:col>
      <xdr:colOff>779879</xdr:colOff>
      <xdr:row>108</xdr:row>
      <xdr:rowOff>1714500</xdr:rowOff>
    </xdr:to>
    <xdr:pic>
      <xdr:nvPicPr>
        <xdr:cNvPr id="155" name="Picture 5">
          <a:extLst>
            <a:ext uri="{FF2B5EF4-FFF2-40B4-BE49-F238E27FC236}">
              <a16:creationId xmlns:a16="http://schemas.microsoft.com/office/drawing/2014/main" id="{9CF878A8-6D6F-4E63-9A3E-98FEAC87880F}"/>
            </a:ext>
          </a:extLst>
        </xdr:cNvPr>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bwMode="auto">
        <a:xfrm>
          <a:off x="637443" y="175597038"/>
          <a:ext cx="630116" cy="1589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244392</xdr:colOff>
      <xdr:row>90</xdr:row>
      <xdr:rowOff>57150</xdr:rowOff>
    </xdr:from>
    <xdr:to>
      <xdr:col>1</xdr:col>
      <xdr:colOff>1960245</xdr:colOff>
      <xdr:row>90</xdr:row>
      <xdr:rowOff>2036220</xdr:rowOff>
    </xdr:to>
    <xdr:pic>
      <xdr:nvPicPr>
        <xdr:cNvPr id="145" name="Obrázek 144">
          <a:extLst>
            <a:ext uri="{FF2B5EF4-FFF2-40B4-BE49-F238E27FC236}">
              <a16:creationId xmlns:a16="http://schemas.microsoft.com/office/drawing/2014/main" id="{78A767E4-F4F6-4628-89BD-25AAAC88B6D2}"/>
            </a:ext>
          </a:extLst>
        </xdr:cNvPr>
        <xdr:cNvPicPr>
          <a:picLocks noChangeAspect="1"/>
        </xdr:cNvPicPr>
      </xdr:nvPicPr>
      <xdr:blipFill rotWithShape="1">
        <a:blip xmlns:r="http://schemas.openxmlformats.org/officeDocument/2006/relationships" r:embed="rId70" cstate="print">
          <a:extLst>
            <a:ext uri="{28A0092B-C50C-407E-A947-70E740481C1C}">
              <a14:useLocalDpi xmlns:a14="http://schemas.microsoft.com/office/drawing/2010/main" val="0"/>
            </a:ext>
          </a:extLst>
        </a:blip>
        <a:srcRect/>
        <a:stretch/>
      </xdr:blipFill>
      <xdr:spPr>
        <a:xfrm>
          <a:off x="720642" y="155381325"/>
          <a:ext cx="1727283" cy="1969545"/>
        </a:xfrm>
        <a:prstGeom prst="rect">
          <a:avLst/>
        </a:prstGeom>
      </xdr:spPr>
    </xdr:pic>
    <xdr:clientData/>
  </xdr:twoCellAnchor>
  <xdr:twoCellAnchor editAs="oneCell">
    <xdr:from>
      <xdr:col>1</xdr:col>
      <xdr:colOff>268873</xdr:colOff>
      <xdr:row>81</xdr:row>
      <xdr:rowOff>85725</xdr:rowOff>
    </xdr:from>
    <xdr:to>
      <xdr:col>1</xdr:col>
      <xdr:colOff>631734</xdr:colOff>
      <xdr:row>81</xdr:row>
      <xdr:rowOff>1219200</xdr:rowOff>
    </xdr:to>
    <xdr:pic>
      <xdr:nvPicPr>
        <xdr:cNvPr id="174" name="Picture 5">
          <a:extLst>
            <a:ext uri="{FF2B5EF4-FFF2-40B4-BE49-F238E27FC236}">
              <a16:creationId xmlns:a16="http://schemas.microsoft.com/office/drawing/2014/main" id="{F21ECCEA-B140-4093-8697-461A676A5B13}"/>
            </a:ext>
          </a:extLst>
        </xdr:cNvPr>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xdr:blipFill>
      <xdr:spPr bwMode="auto">
        <a:xfrm>
          <a:off x="745123" y="138855450"/>
          <a:ext cx="362861"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947211</xdr:colOff>
      <xdr:row>81</xdr:row>
      <xdr:rowOff>95249</xdr:rowOff>
    </xdr:from>
    <xdr:to>
      <xdr:col>1</xdr:col>
      <xdr:colOff>1889759</xdr:colOff>
      <xdr:row>81</xdr:row>
      <xdr:rowOff>1236182</xdr:rowOff>
    </xdr:to>
    <xdr:pic>
      <xdr:nvPicPr>
        <xdr:cNvPr id="12" name="Obrázek 11">
          <a:extLst>
            <a:ext uri="{FF2B5EF4-FFF2-40B4-BE49-F238E27FC236}">
              <a16:creationId xmlns:a16="http://schemas.microsoft.com/office/drawing/2014/main" id="{BB589C02-153D-4601-A299-074D7F50852A}"/>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Lst>
        </a:blip>
        <a:srcRect/>
        <a:stretch/>
      </xdr:blipFill>
      <xdr:spPr>
        <a:xfrm>
          <a:off x="1423461" y="138864974"/>
          <a:ext cx="948263" cy="1135218"/>
        </a:xfrm>
        <a:prstGeom prst="rect">
          <a:avLst/>
        </a:prstGeom>
      </xdr:spPr>
    </xdr:pic>
    <xdr:clientData/>
  </xdr:twoCellAnchor>
  <xdr:twoCellAnchor editAs="oneCell">
    <xdr:from>
      <xdr:col>1</xdr:col>
      <xdr:colOff>364289</xdr:colOff>
      <xdr:row>21</xdr:row>
      <xdr:rowOff>174133</xdr:rowOff>
    </xdr:from>
    <xdr:to>
      <xdr:col>1</xdr:col>
      <xdr:colOff>1978526</xdr:colOff>
      <xdr:row>21</xdr:row>
      <xdr:rowOff>1159970</xdr:rowOff>
    </xdr:to>
    <xdr:pic>
      <xdr:nvPicPr>
        <xdr:cNvPr id="180" name="Obrázek 179">
          <a:extLst>
            <a:ext uri="{FF2B5EF4-FFF2-40B4-BE49-F238E27FC236}">
              <a16:creationId xmlns:a16="http://schemas.microsoft.com/office/drawing/2014/main" id="{C0E72F65-193A-45CE-8351-026FE87247DD}"/>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865605" y="36268870"/>
          <a:ext cx="1614237" cy="980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3</xdr:row>
      <xdr:rowOff>95250</xdr:rowOff>
    </xdr:from>
    <xdr:to>
      <xdr:col>1</xdr:col>
      <xdr:colOff>2148840</xdr:colOff>
      <xdr:row>3</xdr:row>
      <xdr:rowOff>1466850</xdr:rowOff>
    </xdr:to>
    <xdr:pic>
      <xdr:nvPicPr>
        <xdr:cNvPr id="176" name="Obrázek 1">
          <a:extLst>
            <a:ext uri="{FF2B5EF4-FFF2-40B4-BE49-F238E27FC236}">
              <a16:creationId xmlns:a16="http://schemas.microsoft.com/office/drawing/2014/main" id="{816F7FC7-4AEF-449E-A300-480BE7901A17}"/>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619125" y="1000125"/>
          <a:ext cx="20002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1066801</xdr:colOff>
      <xdr:row>44</xdr:row>
      <xdr:rowOff>142875</xdr:rowOff>
    </xdr:from>
    <xdr:to>
      <xdr:col>1</xdr:col>
      <xdr:colOff>2171701</xdr:colOff>
      <xdr:row>44</xdr:row>
      <xdr:rowOff>936995</xdr:rowOff>
    </xdr:to>
    <xdr:pic>
      <xdr:nvPicPr>
        <xdr:cNvPr id="190" name="Obrázek 189">
          <a:extLst>
            <a:ext uri="{FF2B5EF4-FFF2-40B4-BE49-F238E27FC236}">
              <a16:creationId xmlns:a16="http://schemas.microsoft.com/office/drawing/2014/main" id="{5E1D921D-C94F-40E8-A01C-F09F37925623}"/>
            </a:ext>
          </a:extLst>
        </xdr:cNvPr>
        <xdr:cNvPicPr>
          <a:picLocks noChangeAspect="1" noChangeArrowheads="1"/>
        </xdr:cNvPicPr>
      </xdr:nvPicPr>
      <xdr:blipFill rotWithShape="1">
        <a:blip xmlns:r="http://schemas.openxmlformats.org/officeDocument/2006/relationships" r:embed="rId75" cstate="print">
          <a:extLst>
            <a:ext uri="{BEBA8EAE-BF5A-486C-A8C5-ECC9F3942E4B}">
              <a14:imgProps xmlns:a14="http://schemas.microsoft.com/office/drawing/2010/main">
                <a14:imgLayer r:embed="rId76">
                  <a14:imgEffect>
                    <a14:saturation sat="0"/>
                  </a14:imgEffect>
                </a14:imgLayer>
              </a14:imgProps>
            </a:ext>
            <a:ext uri="{28A0092B-C50C-407E-A947-70E740481C1C}">
              <a14:useLocalDpi xmlns:a14="http://schemas.microsoft.com/office/drawing/2010/main" val="0"/>
            </a:ext>
          </a:extLst>
        </a:blip>
        <a:srcRect/>
        <a:stretch/>
      </xdr:blipFill>
      <xdr:spPr bwMode="auto">
        <a:xfrm>
          <a:off x="2152651" y="81457800"/>
          <a:ext cx="1104900" cy="794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44</xdr:row>
      <xdr:rowOff>981075</xdr:rowOff>
    </xdr:from>
    <xdr:to>
      <xdr:col>1</xdr:col>
      <xdr:colOff>2188486</xdr:colOff>
      <xdr:row>44</xdr:row>
      <xdr:rowOff>2303145</xdr:rowOff>
    </xdr:to>
    <xdr:pic>
      <xdr:nvPicPr>
        <xdr:cNvPr id="11" name="Obrázek 10">
          <a:extLst>
            <a:ext uri="{FF2B5EF4-FFF2-40B4-BE49-F238E27FC236}">
              <a16:creationId xmlns:a16="http://schemas.microsoft.com/office/drawing/2014/main" id="{6F7083E2-5A5B-4461-99B6-B362ED4C2D16}"/>
            </a:ext>
          </a:extLst>
        </xdr:cNvPr>
        <xdr:cNvPicPr>
          <a:picLocks noChangeAspect="1"/>
        </xdr:cNvPicPr>
      </xdr:nvPicPr>
      <xdr:blipFill>
        <a:blip xmlns:r="http://schemas.openxmlformats.org/officeDocument/2006/relationships" r:embed="rId77" cstate="print"/>
        <a:stretch>
          <a:fillRect/>
        </a:stretch>
      </xdr:blipFill>
      <xdr:spPr>
        <a:xfrm>
          <a:off x="533400" y="83515200"/>
          <a:ext cx="2121811" cy="1333500"/>
        </a:xfrm>
        <a:prstGeom prst="rect">
          <a:avLst/>
        </a:prstGeom>
      </xdr:spPr>
    </xdr:pic>
    <xdr:clientData/>
  </xdr:twoCellAnchor>
  <xdr:twoCellAnchor>
    <xdr:from>
      <xdr:col>1</xdr:col>
      <xdr:colOff>603817</xdr:colOff>
      <xdr:row>54</xdr:row>
      <xdr:rowOff>238125</xdr:rowOff>
    </xdr:from>
    <xdr:to>
      <xdr:col>1</xdr:col>
      <xdr:colOff>1445759</xdr:colOff>
      <xdr:row>54</xdr:row>
      <xdr:rowOff>1877226</xdr:rowOff>
    </xdr:to>
    <xdr:pic>
      <xdr:nvPicPr>
        <xdr:cNvPr id="195" name="Picture 7" descr="S80 5OH-DSR_2">
          <a:extLst>
            <a:ext uri="{FF2B5EF4-FFF2-40B4-BE49-F238E27FC236}">
              <a16:creationId xmlns:a16="http://schemas.microsoft.com/office/drawing/2014/main" id="{210FF93C-2966-4A1E-9DA1-F227D4D36087}"/>
            </a:ext>
          </a:extLst>
        </xdr:cNvPr>
        <xdr:cNvPicPr>
          <a:picLocks noChangeAspect="1" noChangeArrowheads="1"/>
        </xdr:cNvPicPr>
      </xdr:nvPicPr>
      <xdr:blipFill>
        <a:blip xmlns:r="http://schemas.openxmlformats.org/officeDocument/2006/relationships" r:embed="rId78" cstate="print"/>
        <a:srcRect/>
        <a:stretch>
          <a:fillRect/>
        </a:stretch>
      </xdr:blipFill>
      <xdr:spPr bwMode="auto">
        <a:xfrm>
          <a:off x="1080067" y="94620670"/>
          <a:ext cx="841942" cy="1639101"/>
        </a:xfrm>
        <a:prstGeom prst="rect">
          <a:avLst/>
        </a:prstGeom>
        <a:noFill/>
        <a:ln w="9525">
          <a:noFill/>
          <a:miter lim="800000"/>
          <a:headEnd/>
          <a:tailEnd/>
        </a:ln>
      </xdr:spPr>
    </xdr:pic>
    <xdr:clientData/>
  </xdr:twoCellAnchor>
  <xdr:twoCellAnchor editAs="oneCell">
    <xdr:from>
      <xdr:col>1</xdr:col>
      <xdr:colOff>170446</xdr:colOff>
      <xdr:row>45</xdr:row>
      <xdr:rowOff>140367</xdr:rowOff>
    </xdr:from>
    <xdr:to>
      <xdr:col>1</xdr:col>
      <xdr:colOff>1964956</xdr:colOff>
      <xdr:row>45</xdr:row>
      <xdr:rowOff>1466058</xdr:rowOff>
    </xdr:to>
    <xdr:pic>
      <xdr:nvPicPr>
        <xdr:cNvPr id="201" name="Obrázek 1">
          <a:extLst>
            <a:ext uri="{FF2B5EF4-FFF2-40B4-BE49-F238E27FC236}">
              <a16:creationId xmlns:a16="http://schemas.microsoft.com/office/drawing/2014/main" id="{D2A098CB-7BE0-4079-AE73-5B4C9655FA65}"/>
            </a:ext>
          </a:extLst>
        </xdr:cNvPr>
        <xdr:cNvPicPr>
          <a:picLocks noChangeAspect="1" noChangeArrowheads="1"/>
        </xdr:cNvPicPr>
      </xdr:nvPicPr>
      <xdr:blipFill rotWithShape="1">
        <a:blip xmlns:r="http://schemas.openxmlformats.org/officeDocument/2006/relationships" r:embed="rId79" cstate="print"/>
        <a:srcRect b="981"/>
        <a:stretch/>
      </xdr:blipFill>
      <xdr:spPr bwMode="auto">
        <a:xfrm>
          <a:off x="646696" y="89917985"/>
          <a:ext cx="1800225" cy="1333311"/>
        </a:xfrm>
        <a:prstGeom prst="rect">
          <a:avLst/>
        </a:prstGeom>
        <a:noFill/>
        <a:ln w="9525">
          <a:noFill/>
          <a:miter lim="800000"/>
          <a:headEnd/>
          <a:tailEnd/>
        </a:ln>
      </xdr:spPr>
    </xdr:pic>
    <xdr:clientData/>
  </xdr:twoCellAnchor>
  <xdr:oneCellAnchor>
    <xdr:from>
      <xdr:col>1</xdr:col>
      <xdr:colOff>675409</xdr:colOff>
      <xdr:row>69</xdr:row>
      <xdr:rowOff>43296</xdr:rowOff>
    </xdr:from>
    <xdr:ext cx="876300" cy="1800225"/>
    <xdr:pic>
      <xdr:nvPicPr>
        <xdr:cNvPr id="200" name="Picture 5">
          <a:extLst>
            <a:ext uri="{FF2B5EF4-FFF2-40B4-BE49-F238E27FC236}">
              <a16:creationId xmlns:a16="http://schemas.microsoft.com/office/drawing/2014/main" id="{278C615D-2A0F-4A28-BE25-9AFABE4F8C0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56672" y="122875691"/>
          <a:ext cx="876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109902</xdr:colOff>
      <xdr:row>5</xdr:row>
      <xdr:rowOff>109902</xdr:rowOff>
    </xdr:from>
    <xdr:ext cx="1970945" cy="1277363"/>
    <xdr:pic>
      <xdr:nvPicPr>
        <xdr:cNvPr id="203" name="Obrázek 202">
          <a:extLst>
            <a:ext uri="{FF2B5EF4-FFF2-40B4-BE49-F238E27FC236}">
              <a16:creationId xmlns:a16="http://schemas.microsoft.com/office/drawing/2014/main" id="{9712A89B-C577-42E0-9B28-7304BDFEB741}"/>
            </a:ext>
          </a:extLst>
        </xdr:cNvPr>
        <xdr:cNvPicPr>
          <a:picLocks noChangeAspect="1"/>
        </xdr:cNvPicPr>
      </xdr:nvPicPr>
      <xdr:blipFill rotWithShape="1">
        <a:blip xmlns:r="http://schemas.openxmlformats.org/officeDocument/2006/relationships" r:embed="rId16" cstate="print">
          <a:extLst>
            <a:ext uri="{BEBA8EAE-BF5A-486C-A8C5-ECC9F3942E4B}">
              <a14:imgProps xmlns:a14="http://schemas.microsoft.com/office/drawing/2010/main">
                <a14:imgLayer r:embed="rId17">
                  <a14:imgEffect>
                    <a14:saturation sat="0"/>
                  </a14:imgEffect>
                </a14:imgLayer>
              </a14:imgProps>
            </a:ext>
            <a:ext uri="{28A0092B-C50C-407E-A947-70E740481C1C}">
              <a14:useLocalDpi xmlns:a14="http://schemas.microsoft.com/office/drawing/2010/main" val="0"/>
            </a:ext>
          </a:extLst>
        </a:blip>
        <a:srcRect/>
        <a:stretch/>
      </xdr:blipFill>
      <xdr:spPr>
        <a:xfrm>
          <a:off x="591165" y="3288244"/>
          <a:ext cx="1970945" cy="1277363"/>
        </a:xfrm>
        <a:prstGeom prst="rect">
          <a:avLst/>
        </a:prstGeom>
      </xdr:spPr>
    </xdr:pic>
    <xdr:clientData/>
  </xdr:oneCellAnchor>
  <xdr:oneCellAnchor>
    <xdr:from>
      <xdr:col>1</xdr:col>
      <xdr:colOff>863203</xdr:colOff>
      <xdr:row>79</xdr:row>
      <xdr:rowOff>19844</xdr:rowOff>
    </xdr:from>
    <xdr:ext cx="566259" cy="910676"/>
    <xdr:pic>
      <xdr:nvPicPr>
        <xdr:cNvPr id="204" name="Obrázek 203">
          <a:extLst>
            <a:ext uri="{FF2B5EF4-FFF2-40B4-BE49-F238E27FC236}">
              <a16:creationId xmlns:a16="http://schemas.microsoft.com/office/drawing/2014/main" id="{50A81F75-E1D1-4320-9006-F30375E2AF7A}"/>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344466" y="147697449"/>
          <a:ext cx="566259" cy="910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81642</xdr:colOff>
      <xdr:row>22</xdr:row>
      <xdr:rowOff>204107</xdr:rowOff>
    </xdr:from>
    <xdr:ext cx="1996761" cy="1319893"/>
    <xdr:pic>
      <xdr:nvPicPr>
        <xdr:cNvPr id="205" name="Obrázek 103">
          <a:extLst>
            <a:ext uri="{FF2B5EF4-FFF2-40B4-BE49-F238E27FC236}">
              <a16:creationId xmlns:a16="http://schemas.microsoft.com/office/drawing/2014/main" id="{374BC7CB-5D63-4FE8-A34A-9DE3F9C88971}"/>
            </a:ext>
          </a:extLst>
        </xdr:cNvPr>
        <xdr:cNvPicPr>
          <a:picLocks noChangeAspect="1" noChangeArrowheads="1"/>
        </xdr:cNvPicPr>
      </xdr:nvPicPr>
      <xdr:blipFill rotWithShape="1">
        <a:blip xmlns:r="http://schemas.openxmlformats.org/officeDocument/2006/relationships" r:embed="rId80" cstate="print">
          <a:extLst>
            <a:ext uri="{28A0092B-C50C-407E-A947-70E740481C1C}">
              <a14:useLocalDpi xmlns:a14="http://schemas.microsoft.com/office/drawing/2010/main" val="0"/>
            </a:ext>
          </a:extLst>
        </a:blip>
        <a:srcRect/>
        <a:stretch/>
      </xdr:blipFill>
      <xdr:spPr bwMode="auto">
        <a:xfrm>
          <a:off x="557892" y="40236321"/>
          <a:ext cx="1996761" cy="1319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122465</xdr:colOff>
      <xdr:row>25</xdr:row>
      <xdr:rowOff>136071</xdr:rowOff>
    </xdr:from>
    <xdr:ext cx="1996761" cy="1319893"/>
    <xdr:pic>
      <xdr:nvPicPr>
        <xdr:cNvPr id="206" name="Obrázek 103">
          <a:extLst>
            <a:ext uri="{FF2B5EF4-FFF2-40B4-BE49-F238E27FC236}">
              <a16:creationId xmlns:a16="http://schemas.microsoft.com/office/drawing/2014/main" id="{9896B925-D882-458F-96CC-43CB443FBAD2}"/>
            </a:ext>
          </a:extLst>
        </xdr:cNvPr>
        <xdr:cNvPicPr>
          <a:picLocks noChangeAspect="1" noChangeArrowheads="1"/>
        </xdr:cNvPicPr>
      </xdr:nvPicPr>
      <xdr:blipFill rotWithShape="1">
        <a:blip xmlns:r="http://schemas.openxmlformats.org/officeDocument/2006/relationships" r:embed="rId80" cstate="print">
          <a:extLst>
            <a:ext uri="{28A0092B-C50C-407E-A947-70E740481C1C}">
              <a14:useLocalDpi xmlns:a14="http://schemas.microsoft.com/office/drawing/2010/main" val="0"/>
            </a:ext>
          </a:extLst>
        </a:blip>
        <a:srcRect/>
        <a:stretch/>
      </xdr:blipFill>
      <xdr:spPr bwMode="auto">
        <a:xfrm>
          <a:off x="598715" y="46999071"/>
          <a:ext cx="1996761" cy="1319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90238</xdr:colOff>
      <xdr:row>25</xdr:row>
      <xdr:rowOff>1253289</xdr:rowOff>
    </xdr:from>
    <xdr:to>
      <xdr:col>1</xdr:col>
      <xdr:colOff>1317318</xdr:colOff>
      <xdr:row>25</xdr:row>
      <xdr:rowOff>2153251</xdr:rowOff>
    </xdr:to>
    <xdr:pic>
      <xdr:nvPicPr>
        <xdr:cNvPr id="217" name="Obrázek 216" descr="STOLOVÁ KONSTRUKCE ACADEMIC AD130-01">
          <a:extLst>
            <a:ext uri="{FF2B5EF4-FFF2-40B4-BE49-F238E27FC236}">
              <a16:creationId xmlns:a16="http://schemas.microsoft.com/office/drawing/2014/main" id="{F7EBDB0A-1DF2-4749-B9F0-66C83FB3A66F}"/>
            </a:ext>
          </a:extLst>
        </xdr:cNvPr>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val="0"/>
            </a:ext>
          </a:extLst>
        </a:blip>
        <a:srcRect/>
        <a:stretch>
          <a:fillRect/>
        </a:stretch>
      </xdr:blipFill>
      <xdr:spPr bwMode="auto">
        <a:xfrm>
          <a:off x="571501" y="48366947"/>
          <a:ext cx="1232795" cy="892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344405</xdr:colOff>
      <xdr:row>89</xdr:row>
      <xdr:rowOff>80209</xdr:rowOff>
    </xdr:from>
    <xdr:to>
      <xdr:col>1</xdr:col>
      <xdr:colOff>1847019</xdr:colOff>
      <xdr:row>89</xdr:row>
      <xdr:rowOff>2000250</xdr:rowOff>
    </xdr:to>
    <xdr:pic>
      <xdr:nvPicPr>
        <xdr:cNvPr id="3" name="Obrázek 2">
          <a:extLst>
            <a:ext uri="{FF2B5EF4-FFF2-40B4-BE49-F238E27FC236}">
              <a16:creationId xmlns:a16="http://schemas.microsoft.com/office/drawing/2014/main" id="{F5F8E60D-0405-4147-9E6F-A86A69321702}"/>
            </a:ext>
          </a:extLst>
        </xdr:cNvPr>
        <xdr:cNvPicPr>
          <a:picLocks noChangeAspect="1"/>
        </xdr:cNvPicPr>
      </xdr:nvPicPr>
      <xdr:blipFill>
        <a:blip xmlns:r="http://schemas.openxmlformats.org/officeDocument/2006/relationships" r:embed="rId82"/>
        <a:stretch>
          <a:fillRect/>
        </a:stretch>
      </xdr:blipFill>
      <xdr:spPr>
        <a:xfrm>
          <a:off x="1430255" y="175311634"/>
          <a:ext cx="1517854" cy="1920041"/>
        </a:xfrm>
        <a:prstGeom prst="rect">
          <a:avLst/>
        </a:prstGeom>
      </xdr:spPr>
    </xdr:pic>
    <xdr:clientData/>
  </xdr:twoCellAnchor>
  <xdr:oneCellAnchor>
    <xdr:from>
      <xdr:col>1</xdr:col>
      <xdr:colOff>109902</xdr:colOff>
      <xdr:row>6</xdr:row>
      <xdr:rowOff>109902</xdr:rowOff>
    </xdr:from>
    <xdr:ext cx="1970945" cy="1277363"/>
    <xdr:pic>
      <xdr:nvPicPr>
        <xdr:cNvPr id="216" name="Obrázek 215">
          <a:extLst>
            <a:ext uri="{FF2B5EF4-FFF2-40B4-BE49-F238E27FC236}">
              <a16:creationId xmlns:a16="http://schemas.microsoft.com/office/drawing/2014/main" id="{66ACADB0-E9EB-4DF5-8A7A-AAE86240609E}"/>
            </a:ext>
          </a:extLst>
        </xdr:cNvPr>
        <xdr:cNvPicPr>
          <a:picLocks noChangeAspect="1"/>
        </xdr:cNvPicPr>
      </xdr:nvPicPr>
      <xdr:blipFill rotWithShape="1">
        <a:blip xmlns:r="http://schemas.openxmlformats.org/officeDocument/2006/relationships" r:embed="rId16" cstate="print">
          <a:extLst>
            <a:ext uri="{BEBA8EAE-BF5A-486C-A8C5-ECC9F3942E4B}">
              <a14:imgProps xmlns:a14="http://schemas.microsoft.com/office/drawing/2010/main">
                <a14:imgLayer r:embed="rId17">
                  <a14:imgEffect>
                    <a14:saturation sat="0"/>
                  </a14:imgEffect>
                </a14:imgLayer>
              </a14:imgProps>
            </a:ext>
            <a:ext uri="{28A0092B-C50C-407E-A947-70E740481C1C}">
              <a14:useLocalDpi xmlns:a14="http://schemas.microsoft.com/office/drawing/2010/main" val="0"/>
            </a:ext>
          </a:extLst>
        </a:blip>
        <a:srcRect/>
        <a:stretch/>
      </xdr:blipFill>
      <xdr:spPr>
        <a:xfrm>
          <a:off x="1205789" y="25673773"/>
          <a:ext cx="1970945" cy="1277363"/>
        </a:xfrm>
        <a:prstGeom prst="rect">
          <a:avLst/>
        </a:prstGeom>
      </xdr:spPr>
    </xdr:pic>
    <xdr:clientData/>
  </xdr:oneCellAnchor>
  <xdr:oneCellAnchor>
    <xdr:from>
      <xdr:col>1</xdr:col>
      <xdr:colOff>109902</xdr:colOff>
      <xdr:row>7</xdr:row>
      <xdr:rowOff>109902</xdr:rowOff>
    </xdr:from>
    <xdr:ext cx="1970945" cy="1277363"/>
    <xdr:pic>
      <xdr:nvPicPr>
        <xdr:cNvPr id="218" name="Obrázek 217">
          <a:extLst>
            <a:ext uri="{FF2B5EF4-FFF2-40B4-BE49-F238E27FC236}">
              <a16:creationId xmlns:a16="http://schemas.microsoft.com/office/drawing/2014/main" id="{AB1E1422-FFBB-4EB0-B7A7-5F109C37650E}"/>
            </a:ext>
          </a:extLst>
        </xdr:cNvPr>
        <xdr:cNvPicPr>
          <a:picLocks noChangeAspect="1"/>
        </xdr:cNvPicPr>
      </xdr:nvPicPr>
      <xdr:blipFill rotWithShape="1">
        <a:blip xmlns:r="http://schemas.openxmlformats.org/officeDocument/2006/relationships" r:embed="rId16" cstate="print">
          <a:extLst>
            <a:ext uri="{BEBA8EAE-BF5A-486C-A8C5-ECC9F3942E4B}">
              <a14:imgProps xmlns:a14="http://schemas.microsoft.com/office/drawing/2010/main">
                <a14:imgLayer r:embed="rId17">
                  <a14:imgEffect>
                    <a14:saturation sat="0"/>
                  </a14:imgEffect>
                </a14:imgLayer>
              </a14:imgProps>
            </a:ext>
            <a:ext uri="{28A0092B-C50C-407E-A947-70E740481C1C}">
              <a14:useLocalDpi xmlns:a14="http://schemas.microsoft.com/office/drawing/2010/main" val="0"/>
            </a:ext>
          </a:extLst>
        </a:blip>
        <a:srcRect/>
        <a:stretch/>
      </xdr:blipFill>
      <xdr:spPr>
        <a:xfrm>
          <a:off x="1205789" y="27558289"/>
          <a:ext cx="1970945" cy="1277363"/>
        </a:xfrm>
        <a:prstGeom prst="rect">
          <a:avLst/>
        </a:prstGeom>
      </xdr:spPr>
    </xdr:pic>
    <xdr:clientData/>
  </xdr:oneCellAnchor>
  <xdr:oneCellAnchor>
    <xdr:from>
      <xdr:col>1</xdr:col>
      <xdr:colOff>114300</xdr:colOff>
      <xdr:row>27</xdr:row>
      <xdr:rowOff>38101</xdr:rowOff>
    </xdr:from>
    <xdr:ext cx="2047875" cy="1278720"/>
    <xdr:pic>
      <xdr:nvPicPr>
        <xdr:cNvPr id="221" name="Obrázek 220">
          <a:extLst>
            <a:ext uri="{FF2B5EF4-FFF2-40B4-BE49-F238E27FC236}">
              <a16:creationId xmlns:a16="http://schemas.microsoft.com/office/drawing/2014/main" id="{01FF20D3-1B9A-4A68-AAC3-A5B7A194BA5D}"/>
            </a:ext>
          </a:extLst>
        </xdr:cNvPr>
        <xdr:cNvPicPr>
          <a:picLocks noChangeAspect="1"/>
        </xdr:cNvPicPr>
      </xdr:nvPicPr>
      <xdr:blipFill>
        <a:blip xmlns:r="http://schemas.openxmlformats.org/officeDocument/2006/relationships" r:embed="rId83" cstate="print">
          <a:extLst>
            <a:ext uri="{BEBA8EAE-BF5A-486C-A8C5-ECC9F3942E4B}">
              <a14:imgProps xmlns:a14="http://schemas.microsoft.com/office/drawing/2010/main">
                <a14:imgLayer r:embed="rId84">
                  <a14:imgEffect>
                    <a14:saturation sat="0"/>
                  </a14:imgEffect>
                </a14:imgLayer>
              </a14:imgProps>
            </a:ext>
          </a:extLst>
        </a:blip>
        <a:stretch>
          <a:fillRect/>
        </a:stretch>
      </xdr:blipFill>
      <xdr:spPr>
        <a:xfrm>
          <a:off x="1210187" y="47417295"/>
          <a:ext cx="2047875" cy="1278720"/>
        </a:xfrm>
        <a:prstGeom prst="rect">
          <a:avLst/>
        </a:prstGeom>
      </xdr:spPr>
    </xdr:pic>
    <xdr:clientData/>
  </xdr:oneCellAnchor>
  <xdr:oneCellAnchor>
    <xdr:from>
      <xdr:col>1</xdr:col>
      <xdr:colOff>57150</xdr:colOff>
      <xdr:row>27</xdr:row>
      <xdr:rowOff>904876</xdr:rowOff>
    </xdr:from>
    <xdr:ext cx="1126408" cy="895350"/>
    <xdr:pic>
      <xdr:nvPicPr>
        <xdr:cNvPr id="222" name="Obrázek 221" descr="STOLOVÉ KONSTRUKCE AD-TABLE FIX">
          <a:extLst>
            <a:ext uri="{FF2B5EF4-FFF2-40B4-BE49-F238E27FC236}">
              <a16:creationId xmlns:a16="http://schemas.microsoft.com/office/drawing/2014/main" id="{AB6830F9-91A2-4D5B-98AE-0D5179C5F0ED}"/>
            </a:ext>
          </a:extLst>
        </xdr:cNvPr>
        <xdr:cNvPicPr>
          <a:picLocks noChangeAspect="1" noChangeArrowheads="1"/>
        </xdr:cNvPicPr>
      </xdr:nvPicPr>
      <xdr:blipFill>
        <a:blip xmlns:r="http://schemas.openxmlformats.org/officeDocument/2006/relationships" r:embed="rId85" cstate="print">
          <a:extLst>
            <a:ext uri="{BEBA8EAE-BF5A-486C-A8C5-ECC9F3942E4B}">
              <a14:imgProps xmlns:a14="http://schemas.microsoft.com/office/drawing/2010/main">
                <a14:imgLayer r:embed="rId86">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1153037" y="60707537"/>
          <a:ext cx="1126408" cy="895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65942</xdr:colOff>
      <xdr:row>26</xdr:row>
      <xdr:rowOff>29307</xdr:rowOff>
    </xdr:from>
    <xdr:ext cx="2139848" cy="1637572"/>
    <xdr:pic>
      <xdr:nvPicPr>
        <xdr:cNvPr id="223" name="Obrázek 222">
          <a:extLst>
            <a:ext uri="{FF2B5EF4-FFF2-40B4-BE49-F238E27FC236}">
              <a16:creationId xmlns:a16="http://schemas.microsoft.com/office/drawing/2014/main" id="{5ABD25E7-6B38-4E86-94F8-22670C9D9DBA}"/>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1161829" y="57404630"/>
          <a:ext cx="2139848" cy="1637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100263</xdr:colOff>
      <xdr:row>26</xdr:row>
      <xdr:rowOff>1463470</xdr:rowOff>
    </xdr:from>
    <xdr:ext cx="1433763" cy="753348"/>
    <xdr:pic>
      <xdr:nvPicPr>
        <xdr:cNvPr id="224" name="Obrázek 223" descr="STOLOVÁ KONSTRUKCE ACADEMIC AD130-05A">
          <a:extLst>
            <a:ext uri="{FF2B5EF4-FFF2-40B4-BE49-F238E27FC236}">
              <a16:creationId xmlns:a16="http://schemas.microsoft.com/office/drawing/2014/main" id="{1B801A32-A670-4EB9-9AD4-D980102BE502}"/>
            </a:ext>
          </a:extLst>
        </xdr:cNvPr>
        <xdr:cNvPicPr>
          <a:picLocks noChangeAspect="1" noChangeArrowheads="1"/>
        </xdr:cNvPicPr>
      </xdr:nvPicPr>
      <xdr:blipFill>
        <a:blip xmlns:r="http://schemas.openxmlformats.org/officeDocument/2006/relationships" r:embed="rId88" cstate="print">
          <a:extLst>
            <a:ext uri="{28A0092B-C50C-407E-A947-70E740481C1C}">
              <a14:useLocalDpi xmlns:a14="http://schemas.microsoft.com/office/drawing/2010/main" val="0"/>
            </a:ext>
          </a:extLst>
        </a:blip>
        <a:srcRect/>
        <a:stretch>
          <a:fillRect/>
        </a:stretch>
      </xdr:blipFill>
      <xdr:spPr bwMode="auto">
        <a:xfrm>
          <a:off x="1196150" y="58838793"/>
          <a:ext cx="1433763" cy="753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179917</xdr:colOff>
      <xdr:row>28</xdr:row>
      <xdr:rowOff>31748</xdr:rowOff>
    </xdr:from>
    <xdr:ext cx="2004577" cy="1799167"/>
    <xdr:pic>
      <xdr:nvPicPr>
        <xdr:cNvPr id="225" name="Obrázek 224">
          <a:extLst>
            <a:ext uri="{FF2B5EF4-FFF2-40B4-BE49-F238E27FC236}">
              <a16:creationId xmlns:a16="http://schemas.microsoft.com/office/drawing/2014/main" id="{B931ED9F-30FC-44E9-87C0-4FCCA731860E}"/>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275804" y="49285216"/>
          <a:ext cx="2004577" cy="17991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169332</xdr:colOff>
      <xdr:row>28</xdr:row>
      <xdr:rowOff>1111250</xdr:rowOff>
    </xdr:from>
    <xdr:ext cx="1130667" cy="980730"/>
    <xdr:pic>
      <xdr:nvPicPr>
        <xdr:cNvPr id="226" name="Obrázek 225">
          <a:extLst>
            <a:ext uri="{FF2B5EF4-FFF2-40B4-BE49-F238E27FC236}">
              <a16:creationId xmlns:a16="http://schemas.microsoft.com/office/drawing/2014/main" id="{9175ADB6-8743-4463-9DFE-583CA2581E5E}"/>
            </a:ext>
          </a:extLst>
        </xdr:cNvPr>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val="0"/>
            </a:ext>
          </a:extLst>
        </a:blip>
        <a:srcRect/>
        <a:stretch>
          <a:fillRect/>
        </a:stretch>
      </xdr:blipFill>
      <xdr:spPr bwMode="auto">
        <a:xfrm>
          <a:off x="1265219" y="62788185"/>
          <a:ext cx="1130667" cy="9807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512885</xdr:colOff>
      <xdr:row>52</xdr:row>
      <xdr:rowOff>410308</xdr:rowOff>
    </xdr:from>
    <xdr:to>
      <xdr:col>1</xdr:col>
      <xdr:colOff>1643979</xdr:colOff>
      <xdr:row>52</xdr:row>
      <xdr:rowOff>2068514</xdr:rowOff>
    </xdr:to>
    <xdr:pic>
      <xdr:nvPicPr>
        <xdr:cNvPr id="227" name="Picture 2" descr="S80 5OH-D">
          <a:extLst>
            <a:ext uri="{FF2B5EF4-FFF2-40B4-BE49-F238E27FC236}">
              <a16:creationId xmlns:a16="http://schemas.microsoft.com/office/drawing/2014/main" id="{18D61623-45F5-428A-A8F0-0E1693BF96CB}"/>
            </a:ext>
          </a:extLst>
        </xdr:cNvPr>
        <xdr:cNvPicPr>
          <a:picLocks noChangeAspect="1" noChangeArrowheads="1"/>
        </xdr:cNvPicPr>
      </xdr:nvPicPr>
      <xdr:blipFill>
        <a:blip xmlns:r="http://schemas.openxmlformats.org/officeDocument/2006/relationships" r:embed="rId5" cstate="print"/>
        <a:srcRect l="28910" t="7382" r="30104" b="7382"/>
        <a:stretch>
          <a:fillRect/>
        </a:stretch>
      </xdr:blipFill>
      <xdr:spPr bwMode="auto">
        <a:xfrm>
          <a:off x="1608772" y="117403937"/>
          <a:ext cx="1131094" cy="1658206"/>
        </a:xfrm>
        <a:prstGeom prst="rect">
          <a:avLst/>
        </a:prstGeom>
        <a:noFill/>
      </xdr:spPr>
    </xdr:pic>
    <xdr:clientData/>
  </xdr:twoCellAnchor>
  <xdr:twoCellAnchor>
    <xdr:from>
      <xdr:col>1</xdr:col>
      <xdr:colOff>512885</xdr:colOff>
      <xdr:row>51</xdr:row>
      <xdr:rowOff>410308</xdr:rowOff>
    </xdr:from>
    <xdr:to>
      <xdr:col>1</xdr:col>
      <xdr:colOff>1643979</xdr:colOff>
      <xdr:row>51</xdr:row>
      <xdr:rowOff>2068514</xdr:rowOff>
    </xdr:to>
    <xdr:pic>
      <xdr:nvPicPr>
        <xdr:cNvPr id="228" name="Picture 2" descr="S80 5OH-D">
          <a:extLst>
            <a:ext uri="{FF2B5EF4-FFF2-40B4-BE49-F238E27FC236}">
              <a16:creationId xmlns:a16="http://schemas.microsoft.com/office/drawing/2014/main" id="{956CE9F3-8CCA-47FE-AD4C-8D92C72C9AAE}"/>
            </a:ext>
          </a:extLst>
        </xdr:cNvPr>
        <xdr:cNvPicPr>
          <a:picLocks noChangeAspect="1" noChangeArrowheads="1"/>
        </xdr:cNvPicPr>
      </xdr:nvPicPr>
      <xdr:blipFill>
        <a:blip xmlns:r="http://schemas.openxmlformats.org/officeDocument/2006/relationships" r:embed="rId5" cstate="print"/>
        <a:srcRect l="28910" t="7382" r="30104" b="7382"/>
        <a:stretch>
          <a:fillRect/>
        </a:stretch>
      </xdr:blipFill>
      <xdr:spPr bwMode="auto">
        <a:xfrm>
          <a:off x="1608772" y="119831276"/>
          <a:ext cx="1131094" cy="1658206"/>
        </a:xfrm>
        <a:prstGeom prst="rect">
          <a:avLst/>
        </a:prstGeom>
        <a:noFill/>
      </xdr:spPr>
    </xdr:pic>
    <xdr:clientData/>
  </xdr:twoCellAnchor>
  <xdr:twoCellAnchor>
    <xdr:from>
      <xdr:col>1</xdr:col>
      <xdr:colOff>527539</xdr:colOff>
      <xdr:row>61</xdr:row>
      <xdr:rowOff>161193</xdr:rowOff>
    </xdr:from>
    <xdr:to>
      <xdr:col>1</xdr:col>
      <xdr:colOff>1584814</xdr:colOff>
      <xdr:row>61</xdr:row>
      <xdr:rowOff>1066068</xdr:rowOff>
    </xdr:to>
    <xdr:pic>
      <xdr:nvPicPr>
        <xdr:cNvPr id="229" name="Picture 64" descr="S80 2OH-D">
          <a:extLst>
            <a:ext uri="{FF2B5EF4-FFF2-40B4-BE49-F238E27FC236}">
              <a16:creationId xmlns:a16="http://schemas.microsoft.com/office/drawing/2014/main" id="{E489FE9F-FAF3-4E53-9C41-2A69E863794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13389" y="132644418"/>
          <a:ext cx="1057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527539</xdr:colOff>
      <xdr:row>62</xdr:row>
      <xdr:rowOff>161193</xdr:rowOff>
    </xdr:from>
    <xdr:to>
      <xdr:col>1</xdr:col>
      <xdr:colOff>1584814</xdr:colOff>
      <xdr:row>62</xdr:row>
      <xdr:rowOff>1066068</xdr:rowOff>
    </xdr:to>
    <xdr:pic>
      <xdr:nvPicPr>
        <xdr:cNvPr id="230" name="Picture 64" descr="S80 2OH-D">
          <a:extLst>
            <a:ext uri="{FF2B5EF4-FFF2-40B4-BE49-F238E27FC236}">
              <a16:creationId xmlns:a16="http://schemas.microsoft.com/office/drawing/2014/main" id="{F0781B77-F351-425D-9981-3B66C5C2A70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13389" y="134911368"/>
          <a:ext cx="1057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723900</xdr:colOff>
      <xdr:row>63</xdr:row>
      <xdr:rowOff>304801</xdr:rowOff>
    </xdr:from>
    <xdr:ext cx="704749" cy="1447800"/>
    <xdr:pic>
      <xdr:nvPicPr>
        <xdr:cNvPr id="231" name="Picture 5">
          <a:extLst>
            <a:ext uri="{FF2B5EF4-FFF2-40B4-BE49-F238E27FC236}">
              <a16:creationId xmlns:a16="http://schemas.microsoft.com/office/drawing/2014/main" id="{7DB9CE4E-CFE1-4884-A0D9-48D9493B4DE5}"/>
            </a:ext>
          </a:extLst>
        </xdr:cNvPr>
        <xdr:cNvPicPr>
          <a:picLocks noChangeAspect="1" noChangeArrowheads="1"/>
        </xdr:cNvPicPr>
      </xdr:nvPicPr>
      <xdr:blipFill>
        <a:blip xmlns:r="http://schemas.openxmlformats.org/officeDocument/2006/relationships" r:embed="rId91" cstate="print">
          <a:extLst>
            <a:ext uri="{28A0092B-C50C-407E-A947-70E740481C1C}">
              <a14:useLocalDpi xmlns:a14="http://schemas.microsoft.com/office/drawing/2010/main" val="0"/>
            </a:ext>
          </a:extLst>
        </a:blip>
        <a:srcRect/>
        <a:stretch>
          <a:fillRect/>
        </a:stretch>
      </xdr:blipFill>
      <xdr:spPr bwMode="auto">
        <a:xfrm>
          <a:off x="1809750" y="149304376"/>
          <a:ext cx="704749"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652182</xdr:colOff>
      <xdr:row>55</xdr:row>
      <xdr:rowOff>2162455</xdr:rowOff>
    </xdr:from>
    <xdr:ext cx="520233" cy="324992"/>
    <xdr:pic>
      <xdr:nvPicPr>
        <xdr:cNvPr id="232" name="Obrázek 231">
          <a:extLst>
            <a:ext uri="{FF2B5EF4-FFF2-40B4-BE49-F238E27FC236}">
              <a16:creationId xmlns:a16="http://schemas.microsoft.com/office/drawing/2014/main" id="{989371BE-EA33-42D7-AB85-4F758AD97EFE}"/>
            </a:ext>
          </a:extLst>
        </xdr:cNvPr>
        <xdr:cNvPicPr>
          <a:picLocks noChangeAspect="1" noChangeArrowheads="1"/>
        </xdr:cNvPicPr>
      </xdr:nvPicPr>
      <xdr:blipFill>
        <a:blip xmlns:r="http://schemas.openxmlformats.org/officeDocument/2006/relationships" r:embed="rId92" cstate="print">
          <a:extLst>
            <a:ext uri="{28A0092B-C50C-407E-A947-70E740481C1C}">
              <a14:useLocalDpi xmlns:a14="http://schemas.microsoft.com/office/drawing/2010/main" val="0"/>
            </a:ext>
          </a:extLst>
        </a:blip>
        <a:srcRect/>
        <a:stretch>
          <a:fillRect/>
        </a:stretch>
      </xdr:blipFill>
      <xdr:spPr bwMode="auto">
        <a:xfrm>
          <a:off x="1738032" y="155743555"/>
          <a:ext cx="520233" cy="324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462801</xdr:colOff>
      <xdr:row>55</xdr:row>
      <xdr:rowOff>224118</xdr:rowOff>
    </xdr:from>
    <xdr:ext cx="1032623" cy="1844685"/>
    <xdr:pic>
      <xdr:nvPicPr>
        <xdr:cNvPr id="233" name="Obrázek 232">
          <a:extLst>
            <a:ext uri="{FF2B5EF4-FFF2-40B4-BE49-F238E27FC236}">
              <a16:creationId xmlns:a16="http://schemas.microsoft.com/office/drawing/2014/main" id="{216D28A8-B39E-48F2-8FB2-1857B99C606C}"/>
            </a:ext>
          </a:extLst>
        </xdr:cNvPr>
        <xdr:cNvPicPr>
          <a:picLocks noChangeAspect="1" noChangeArrowheads="1"/>
        </xdr:cNvPicPr>
      </xdr:nvPicPr>
      <xdr:blipFill>
        <a:blip xmlns:r="http://schemas.openxmlformats.org/officeDocument/2006/relationships" r:embed="rId93" cstate="print">
          <a:extLst>
            <a:ext uri="{28A0092B-C50C-407E-A947-70E740481C1C}">
              <a14:useLocalDpi xmlns:a14="http://schemas.microsoft.com/office/drawing/2010/main" val="0"/>
            </a:ext>
          </a:extLst>
        </a:blip>
        <a:srcRect/>
        <a:stretch>
          <a:fillRect/>
        </a:stretch>
      </xdr:blipFill>
      <xdr:spPr bwMode="auto">
        <a:xfrm>
          <a:off x="1548651" y="153805218"/>
          <a:ext cx="1032623" cy="1844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652182</xdr:colOff>
      <xdr:row>67</xdr:row>
      <xdr:rowOff>2162455</xdr:rowOff>
    </xdr:from>
    <xdr:ext cx="520233" cy="324992"/>
    <xdr:pic>
      <xdr:nvPicPr>
        <xdr:cNvPr id="235" name="Obrázek 234">
          <a:extLst>
            <a:ext uri="{FF2B5EF4-FFF2-40B4-BE49-F238E27FC236}">
              <a16:creationId xmlns:a16="http://schemas.microsoft.com/office/drawing/2014/main" id="{E030927E-1FD3-4C79-9B8F-D2F0F0EE639B}"/>
            </a:ext>
          </a:extLst>
        </xdr:cNvPr>
        <xdr:cNvPicPr>
          <a:picLocks noChangeAspect="1" noChangeArrowheads="1"/>
        </xdr:cNvPicPr>
      </xdr:nvPicPr>
      <xdr:blipFill>
        <a:blip xmlns:r="http://schemas.openxmlformats.org/officeDocument/2006/relationships" r:embed="rId92" cstate="print">
          <a:extLst>
            <a:ext uri="{28A0092B-C50C-407E-A947-70E740481C1C}">
              <a14:useLocalDpi xmlns:a14="http://schemas.microsoft.com/office/drawing/2010/main" val="0"/>
            </a:ext>
          </a:extLst>
        </a:blip>
        <a:srcRect/>
        <a:stretch>
          <a:fillRect/>
        </a:stretch>
      </xdr:blipFill>
      <xdr:spPr bwMode="auto">
        <a:xfrm>
          <a:off x="1738032" y="136598305"/>
          <a:ext cx="520233" cy="324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462801</xdr:colOff>
      <xdr:row>67</xdr:row>
      <xdr:rowOff>224118</xdr:rowOff>
    </xdr:from>
    <xdr:ext cx="1032623" cy="1844685"/>
    <xdr:pic>
      <xdr:nvPicPr>
        <xdr:cNvPr id="236" name="Obrázek 235">
          <a:extLst>
            <a:ext uri="{FF2B5EF4-FFF2-40B4-BE49-F238E27FC236}">
              <a16:creationId xmlns:a16="http://schemas.microsoft.com/office/drawing/2014/main" id="{7457EFF7-05E3-48E4-BFF8-51A7D555C192}"/>
            </a:ext>
          </a:extLst>
        </xdr:cNvPr>
        <xdr:cNvPicPr>
          <a:picLocks noChangeAspect="1" noChangeArrowheads="1"/>
        </xdr:cNvPicPr>
      </xdr:nvPicPr>
      <xdr:blipFill>
        <a:blip xmlns:r="http://schemas.openxmlformats.org/officeDocument/2006/relationships" r:embed="rId93" cstate="print">
          <a:extLst>
            <a:ext uri="{28A0092B-C50C-407E-A947-70E740481C1C}">
              <a14:useLocalDpi xmlns:a14="http://schemas.microsoft.com/office/drawing/2010/main" val="0"/>
            </a:ext>
          </a:extLst>
        </a:blip>
        <a:srcRect/>
        <a:stretch>
          <a:fillRect/>
        </a:stretch>
      </xdr:blipFill>
      <xdr:spPr bwMode="auto">
        <a:xfrm>
          <a:off x="1548651" y="156234093"/>
          <a:ext cx="1032623" cy="1844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299357</xdr:colOff>
      <xdr:row>73</xdr:row>
      <xdr:rowOff>203127</xdr:rowOff>
    </xdr:from>
    <xdr:to>
      <xdr:col>1</xdr:col>
      <xdr:colOff>1850571</xdr:colOff>
      <xdr:row>73</xdr:row>
      <xdr:rowOff>1323089</xdr:rowOff>
    </xdr:to>
    <xdr:pic>
      <xdr:nvPicPr>
        <xdr:cNvPr id="237" name="Picture 64">
          <a:extLst>
            <a:ext uri="{FF2B5EF4-FFF2-40B4-BE49-F238E27FC236}">
              <a16:creationId xmlns:a16="http://schemas.microsoft.com/office/drawing/2014/main" id="{5FAFADEF-286C-4E73-981A-A103BE4E5F09}"/>
            </a:ext>
          </a:extLst>
        </xdr:cNvPr>
        <xdr:cNvPicPr>
          <a:picLocks noChangeAspect="1" noChangeArrowheads="1"/>
        </xdr:cNvPicPr>
      </xdr:nvPicPr>
      <xdr:blipFill>
        <a:blip xmlns:r="http://schemas.openxmlformats.org/officeDocument/2006/relationships" r:embed="rId94" cstate="print">
          <a:extLst>
            <a:ext uri="{28A0092B-C50C-407E-A947-70E740481C1C}">
              <a14:useLocalDpi xmlns:a14="http://schemas.microsoft.com/office/drawing/2010/main" val="0"/>
            </a:ext>
          </a:extLst>
        </a:blip>
        <a:srcRect/>
        <a:stretch/>
      </xdr:blipFill>
      <xdr:spPr bwMode="auto">
        <a:xfrm>
          <a:off x="1385207" y="157641852"/>
          <a:ext cx="1551214" cy="1119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180975</xdr:colOff>
      <xdr:row>8</xdr:row>
      <xdr:rowOff>57150</xdr:rowOff>
    </xdr:from>
    <xdr:to>
      <xdr:col>1</xdr:col>
      <xdr:colOff>2193172</xdr:colOff>
      <xdr:row>8</xdr:row>
      <xdr:rowOff>1850602</xdr:rowOff>
    </xdr:to>
    <xdr:pic>
      <xdr:nvPicPr>
        <xdr:cNvPr id="239" name="Obrázek 238">
          <a:extLst>
            <a:ext uri="{FF2B5EF4-FFF2-40B4-BE49-F238E27FC236}">
              <a16:creationId xmlns:a16="http://schemas.microsoft.com/office/drawing/2014/main" id="{310B0424-3A58-4D35-B724-F6C2583762BC}"/>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266825" y="10639425"/>
          <a:ext cx="2004577" cy="1799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202140</xdr:colOff>
      <xdr:row>8</xdr:row>
      <xdr:rowOff>1284818</xdr:rowOff>
    </xdr:from>
    <xdr:to>
      <xdr:col>1</xdr:col>
      <xdr:colOff>1332807</xdr:colOff>
      <xdr:row>8</xdr:row>
      <xdr:rowOff>2265548</xdr:rowOff>
    </xdr:to>
    <xdr:pic>
      <xdr:nvPicPr>
        <xdr:cNvPr id="240" name="Obrázek 239">
          <a:extLst>
            <a:ext uri="{FF2B5EF4-FFF2-40B4-BE49-F238E27FC236}">
              <a16:creationId xmlns:a16="http://schemas.microsoft.com/office/drawing/2014/main" id="{B979A24C-87E6-4254-9990-CF69407930D2}"/>
            </a:ext>
          </a:extLst>
        </xdr:cNvPr>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val="0"/>
            </a:ext>
          </a:extLst>
        </a:blip>
        <a:srcRect/>
        <a:stretch>
          <a:fillRect/>
        </a:stretch>
      </xdr:blipFill>
      <xdr:spPr bwMode="auto">
        <a:xfrm>
          <a:off x="1287990" y="11867093"/>
          <a:ext cx="1130667" cy="980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179917</xdr:colOff>
      <xdr:row>9</xdr:row>
      <xdr:rowOff>158749</xdr:rowOff>
    </xdr:from>
    <xdr:ext cx="2004577" cy="1799167"/>
    <xdr:pic>
      <xdr:nvPicPr>
        <xdr:cNvPr id="241" name="Obrázek 240">
          <a:extLst>
            <a:ext uri="{FF2B5EF4-FFF2-40B4-BE49-F238E27FC236}">
              <a16:creationId xmlns:a16="http://schemas.microsoft.com/office/drawing/2014/main" id="{4A9998F0-E90C-4EEE-B79B-96014129DB3C}"/>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265767" y="13265149"/>
          <a:ext cx="2004577" cy="17991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201082</xdr:colOff>
      <xdr:row>9</xdr:row>
      <xdr:rowOff>1386417</xdr:rowOff>
    </xdr:from>
    <xdr:ext cx="1130667" cy="980730"/>
    <xdr:pic>
      <xdr:nvPicPr>
        <xdr:cNvPr id="242" name="Obrázek 241">
          <a:extLst>
            <a:ext uri="{FF2B5EF4-FFF2-40B4-BE49-F238E27FC236}">
              <a16:creationId xmlns:a16="http://schemas.microsoft.com/office/drawing/2014/main" id="{CF36263C-AA0C-4A39-BC4C-47CD6DDC794B}"/>
            </a:ext>
          </a:extLst>
        </xdr:cNvPr>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val="0"/>
            </a:ext>
          </a:extLst>
        </a:blip>
        <a:srcRect/>
        <a:stretch>
          <a:fillRect/>
        </a:stretch>
      </xdr:blipFill>
      <xdr:spPr bwMode="auto">
        <a:xfrm>
          <a:off x="1286932" y="24074967"/>
          <a:ext cx="1130667" cy="9807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172026</xdr:colOff>
      <xdr:row>10</xdr:row>
      <xdr:rowOff>40360</xdr:rowOff>
    </xdr:from>
    <xdr:ext cx="2004577" cy="1799167"/>
    <xdr:pic>
      <xdr:nvPicPr>
        <xdr:cNvPr id="243" name="Obrázek 242">
          <a:extLst>
            <a:ext uri="{FF2B5EF4-FFF2-40B4-BE49-F238E27FC236}">
              <a16:creationId xmlns:a16="http://schemas.microsoft.com/office/drawing/2014/main" id="{44426EC4-30AA-48E0-8F53-4628623625DD}"/>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257876" y="25253035"/>
          <a:ext cx="2004577" cy="17991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161441</xdr:colOff>
      <xdr:row>10</xdr:row>
      <xdr:rowOff>1119862</xdr:rowOff>
    </xdr:from>
    <xdr:ext cx="1130667" cy="980730"/>
    <xdr:pic>
      <xdr:nvPicPr>
        <xdr:cNvPr id="244" name="Obrázek 243">
          <a:extLst>
            <a:ext uri="{FF2B5EF4-FFF2-40B4-BE49-F238E27FC236}">
              <a16:creationId xmlns:a16="http://schemas.microsoft.com/office/drawing/2014/main" id="{5D5F5A20-ECEE-4F0F-A7FC-ED13FDEBB651}"/>
            </a:ext>
          </a:extLst>
        </xdr:cNvPr>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val="0"/>
            </a:ext>
          </a:extLst>
        </a:blip>
        <a:srcRect/>
        <a:stretch>
          <a:fillRect/>
        </a:stretch>
      </xdr:blipFill>
      <xdr:spPr bwMode="auto">
        <a:xfrm>
          <a:off x="1247291" y="26332537"/>
          <a:ext cx="1130667" cy="9807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597478</xdr:colOff>
      <xdr:row>58</xdr:row>
      <xdr:rowOff>259773</xdr:rowOff>
    </xdr:from>
    <xdr:ext cx="876300" cy="1800225"/>
    <xdr:pic>
      <xdr:nvPicPr>
        <xdr:cNvPr id="153" name="Picture 5">
          <a:extLst>
            <a:ext uri="{FF2B5EF4-FFF2-40B4-BE49-F238E27FC236}">
              <a16:creationId xmlns:a16="http://schemas.microsoft.com/office/drawing/2014/main" id="{606D1EDD-9031-4DF5-99D3-AB07F2FA97E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83328" y="108682848"/>
          <a:ext cx="876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209551</xdr:colOff>
      <xdr:row>38</xdr:row>
      <xdr:rowOff>142875</xdr:rowOff>
    </xdr:from>
    <xdr:to>
      <xdr:col>1</xdr:col>
      <xdr:colOff>2118159</xdr:colOff>
      <xdr:row>38</xdr:row>
      <xdr:rowOff>1238250</xdr:rowOff>
    </xdr:to>
    <xdr:pic>
      <xdr:nvPicPr>
        <xdr:cNvPr id="173" name="Obrázek 172">
          <a:extLst>
            <a:ext uri="{FF2B5EF4-FFF2-40B4-BE49-F238E27FC236}">
              <a16:creationId xmlns:a16="http://schemas.microsoft.com/office/drawing/2014/main" id="{043B2E43-D02A-4E8F-B1A9-6AF47AF4257B}"/>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1295401" y="66922650"/>
          <a:ext cx="190860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266699</xdr:colOff>
      <xdr:row>17</xdr:row>
      <xdr:rowOff>266700</xdr:rowOff>
    </xdr:from>
    <xdr:to>
      <xdr:col>1</xdr:col>
      <xdr:colOff>1769532</xdr:colOff>
      <xdr:row>17</xdr:row>
      <xdr:rowOff>1619250</xdr:rowOff>
    </xdr:to>
    <xdr:pic>
      <xdr:nvPicPr>
        <xdr:cNvPr id="177" name="Obrázek 176">
          <a:extLst>
            <a:ext uri="{FF2B5EF4-FFF2-40B4-BE49-F238E27FC236}">
              <a16:creationId xmlns:a16="http://schemas.microsoft.com/office/drawing/2014/main" id="{B7E9404D-8C0E-453A-ADF0-FC0B179D71C2}"/>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1352549" y="28936950"/>
          <a:ext cx="1502833"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306304</xdr:colOff>
      <xdr:row>120</xdr:row>
      <xdr:rowOff>102770</xdr:rowOff>
    </xdr:from>
    <xdr:ext cx="1338012" cy="1646279"/>
    <xdr:pic>
      <xdr:nvPicPr>
        <xdr:cNvPr id="178" name="Picture 119">
          <a:extLst>
            <a:ext uri="{FF2B5EF4-FFF2-40B4-BE49-F238E27FC236}">
              <a16:creationId xmlns:a16="http://schemas.microsoft.com/office/drawing/2014/main" id="{5FACBAE6-4FC9-4E80-A875-BF7C70F3F344}"/>
            </a:ext>
          </a:extLst>
        </xdr:cNvPr>
        <xdr:cNvPicPr>
          <a:picLocks noChangeAspect="1" noChangeArrowheads="1"/>
        </xdr:cNvPicPr>
      </xdr:nvPicPr>
      <xdr:blipFill>
        <a:blip xmlns:r="http://schemas.openxmlformats.org/officeDocument/2006/relationships" r:embed="rId97" cstate="print">
          <a:extLst>
            <a:ext uri="{28A0092B-C50C-407E-A947-70E740481C1C}">
              <a14:useLocalDpi xmlns:a14="http://schemas.microsoft.com/office/drawing/2010/main" val="0"/>
            </a:ext>
          </a:extLst>
        </a:blip>
        <a:srcRect/>
        <a:stretch>
          <a:fillRect/>
        </a:stretch>
      </xdr:blipFill>
      <xdr:spPr bwMode="auto">
        <a:xfrm>
          <a:off x="1392154" y="240780470"/>
          <a:ext cx="1338012" cy="16462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xdr:col>
      <xdr:colOff>352431</xdr:colOff>
      <xdr:row>123</xdr:row>
      <xdr:rowOff>123832</xdr:rowOff>
    </xdr:from>
    <xdr:ext cx="1381334" cy="1596000"/>
    <xdr:pic>
      <xdr:nvPicPr>
        <xdr:cNvPr id="197" name="Picture 102">
          <a:extLst>
            <a:ext uri="{FF2B5EF4-FFF2-40B4-BE49-F238E27FC236}">
              <a16:creationId xmlns:a16="http://schemas.microsoft.com/office/drawing/2014/main" id="{A7B108C6-2F57-4DE0-B719-2E36994792E9}"/>
            </a:ext>
          </a:extLst>
        </xdr:cNvPr>
        <xdr:cNvPicPr>
          <a:picLocks noChangeAspect="1" noChangeArrowheads="1"/>
        </xdr:cNvPicPr>
      </xdr:nvPicPr>
      <xdr:blipFill>
        <a:blip xmlns:r="http://schemas.openxmlformats.org/officeDocument/2006/relationships" r:embed="rId98" cstate="print">
          <a:extLst>
            <a:ext uri="{28A0092B-C50C-407E-A947-70E740481C1C}">
              <a14:useLocalDpi xmlns:a14="http://schemas.microsoft.com/office/drawing/2010/main" val="0"/>
            </a:ext>
          </a:extLst>
        </a:blip>
        <a:srcRect/>
        <a:stretch>
          <a:fillRect/>
        </a:stretch>
      </xdr:blipFill>
      <xdr:spPr bwMode="auto">
        <a:xfrm>
          <a:off x="1438281" y="229085782"/>
          <a:ext cx="1381334" cy="1596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xdr:col>
      <xdr:colOff>63500</xdr:colOff>
      <xdr:row>121</xdr:row>
      <xdr:rowOff>79375</xdr:rowOff>
    </xdr:from>
    <xdr:ext cx="2152650" cy="1304925"/>
    <xdr:pic>
      <xdr:nvPicPr>
        <xdr:cNvPr id="198" name="Picture 96">
          <a:extLst>
            <a:ext uri="{FF2B5EF4-FFF2-40B4-BE49-F238E27FC236}">
              <a16:creationId xmlns:a16="http://schemas.microsoft.com/office/drawing/2014/main" id="{4E96B109-94F6-4746-9C45-6FCAD92E6C35}"/>
            </a:ext>
          </a:extLst>
        </xdr:cNvPr>
        <xdr:cNvPicPr>
          <a:picLocks noChangeAspect="1" noChangeArrowheads="1"/>
        </xdr:cNvPicPr>
      </xdr:nvPicPr>
      <xdr:blipFill>
        <a:blip xmlns:r="http://schemas.openxmlformats.org/officeDocument/2006/relationships" r:embed="rId99" cstate="print">
          <a:extLst>
            <a:ext uri="{28A0092B-C50C-407E-A947-70E740481C1C}">
              <a14:useLocalDpi xmlns:a14="http://schemas.microsoft.com/office/drawing/2010/main" val="0"/>
            </a:ext>
          </a:extLst>
        </a:blip>
        <a:srcRect/>
        <a:stretch>
          <a:fillRect/>
        </a:stretch>
      </xdr:blipFill>
      <xdr:spPr bwMode="auto">
        <a:xfrm>
          <a:off x="1149350" y="239185450"/>
          <a:ext cx="2152650" cy="13049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1</xdr:col>
      <xdr:colOff>323850</xdr:colOff>
      <xdr:row>48</xdr:row>
      <xdr:rowOff>104775</xdr:rowOff>
    </xdr:from>
    <xdr:to>
      <xdr:col>1</xdr:col>
      <xdr:colOff>1388745</xdr:colOff>
      <xdr:row>48</xdr:row>
      <xdr:rowOff>1181100</xdr:rowOff>
    </xdr:to>
    <xdr:pic>
      <xdr:nvPicPr>
        <xdr:cNvPr id="192" name="Picture 841">
          <a:extLst>
            <a:ext uri="{FF2B5EF4-FFF2-40B4-BE49-F238E27FC236}">
              <a16:creationId xmlns:a16="http://schemas.microsoft.com/office/drawing/2014/main" id="{DE1E3419-C46F-438D-91EF-F1FBB89CD9C3}"/>
            </a:ext>
          </a:extLst>
        </xdr:cNvPr>
        <xdr:cNvPicPr>
          <a:picLocks noChangeAspect="1" noChangeArrowheads="1"/>
        </xdr:cNvPicPr>
      </xdr:nvPicPr>
      <xdr:blipFill>
        <a:blip xmlns:r="http://schemas.openxmlformats.org/officeDocument/2006/relationships" r:embed="rId100" cstate="print">
          <a:extLst>
            <a:ext uri="{28A0092B-C50C-407E-A947-70E740481C1C}">
              <a14:useLocalDpi xmlns:a14="http://schemas.microsoft.com/office/drawing/2010/main" val="0"/>
            </a:ext>
          </a:extLst>
        </a:blip>
        <a:srcRect l="7368" t="1215" r="-6467" b="8318"/>
        <a:stretch>
          <a:fillRect/>
        </a:stretch>
      </xdr:blipFill>
      <xdr:spPr bwMode="auto">
        <a:xfrm flipH="1">
          <a:off x="1409700" y="87858600"/>
          <a:ext cx="1076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114</xdr:row>
      <xdr:rowOff>276225</xdr:rowOff>
    </xdr:from>
    <xdr:to>
      <xdr:col>1</xdr:col>
      <xdr:colOff>2112645</xdr:colOff>
      <xdr:row>114</xdr:row>
      <xdr:rowOff>2611755</xdr:rowOff>
    </xdr:to>
    <xdr:pic>
      <xdr:nvPicPr>
        <xdr:cNvPr id="179" name="Picture 43">
          <a:extLst>
            <a:ext uri="{FF2B5EF4-FFF2-40B4-BE49-F238E27FC236}">
              <a16:creationId xmlns:a16="http://schemas.microsoft.com/office/drawing/2014/main" id="{2B791486-6B39-47B3-BDE2-ED3BEE5C20B1}"/>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1219200" y="211359750"/>
          <a:ext cx="1990725" cy="2324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304800</xdr:colOff>
      <xdr:row>122</xdr:row>
      <xdr:rowOff>19050</xdr:rowOff>
    </xdr:from>
    <xdr:to>
      <xdr:col>1</xdr:col>
      <xdr:colOff>1805940</xdr:colOff>
      <xdr:row>122</xdr:row>
      <xdr:rowOff>2266950</xdr:rowOff>
    </xdr:to>
    <xdr:pic>
      <xdr:nvPicPr>
        <xdr:cNvPr id="193" name="Picture 42">
          <a:extLst>
            <a:ext uri="{FF2B5EF4-FFF2-40B4-BE49-F238E27FC236}">
              <a16:creationId xmlns:a16="http://schemas.microsoft.com/office/drawing/2014/main" id="{7F561E84-F14C-4B34-82F3-E1B6E31E26BF}"/>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1390650" y="226790250"/>
          <a:ext cx="1495425" cy="2247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66675</xdr:colOff>
      <xdr:row>125</xdr:row>
      <xdr:rowOff>133350</xdr:rowOff>
    </xdr:from>
    <xdr:to>
      <xdr:col>1</xdr:col>
      <xdr:colOff>2209800</xdr:colOff>
      <xdr:row>125</xdr:row>
      <xdr:rowOff>1845945</xdr:rowOff>
    </xdr:to>
    <xdr:pic>
      <xdr:nvPicPr>
        <xdr:cNvPr id="194" name="Picture 41">
          <a:extLst>
            <a:ext uri="{FF2B5EF4-FFF2-40B4-BE49-F238E27FC236}">
              <a16:creationId xmlns:a16="http://schemas.microsoft.com/office/drawing/2014/main" id="{24A2CAA8-2973-4493-B9E9-717432130ADE}"/>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1152525" y="235648500"/>
          <a:ext cx="2143125" cy="1724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57150</xdr:colOff>
      <xdr:row>134</xdr:row>
      <xdr:rowOff>76200</xdr:rowOff>
    </xdr:from>
    <xdr:to>
      <xdr:col>1</xdr:col>
      <xdr:colOff>2190750</xdr:colOff>
      <xdr:row>134</xdr:row>
      <xdr:rowOff>1617345</xdr:rowOff>
    </xdr:to>
    <xdr:pic>
      <xdr:nvPicPr>
        <xdr:cNvPr id="196" name="Picture 49">
          <a:extLst>
            <a:ext uri="{FF2B5EF4-FFF2-40B4-BE49-F238E27FC236}">
              <a16:creationId xmlns:a16="http://schemas.microsoft.com/office/drawing/2014/main" id="{5740C581-0208-4063-B6BA-9C586A8804C7}"/>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1143000" y="260594475"/>
          <a:ext cx="2133600" cy="1552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714375</xdr:colOff>
      <xdr:row>135</xdr:row>
      <xdr:rowOff>114300</xdr:rowOff>
    </xdr:from>
    <xdr:to>
      <xdr:col>1</xdr:col>
      <xdr:colOff>1350645</xdr:colOff>
      <xdr:row>135</xdr:row>
      <xdr:rowOff>1371600</xdr:rowOff>
    </xdr:to>
    <xdr:pic>
      <xdr:nvPicPr>
        <xdr:cNvPr id="199" name="Picture 78">
          <a:extLst>
            <a:ext uri="{FF2B5EF4-FFF2-40B4-BE49-F238E27FC236}">
              <a16:creationId xmlns:a16="http://schemas.microsoft.com/office/drawing/2014/main" id="{391DA53D-9CB2-4B9A-A80D-7275DF7B0C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1800225" y="262366125"/>
          <a:ext cx="6477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136</xdr:row>
      <xdr:rowOff>85725</xdr:rowOff>
    </xdr:from>
    <xdr:to>
      <xdr:col>1</xdr:col>
      <xdr:colOff>1469571</xdr:colOff>
      <xdr:row>136</xdr:row>
      <xdr:rowOff>1729740</xdr:rowOff>
    </xdr:to>
    <xdr:pic>
      <xdr:nvPicPr>
        <xdr:cNvPr id="202" name="Picture 54">
          <a:extLst>
            <a:ext uri="{FF2B5EF4-FFF2-40B4-BE49-F238E27FC236}">
              <a16:creationId xmlns:a16="http://schemas.microsoft.com/office/drawing/2014/main" id="{EC3F4353-606A-4396-A3F6-057ED971ACF4}"/>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1628775" y="264071100"/>
          <a:ext cx="936171" cy="1638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400050</xdr:colOff>
      <xdr:row>137</xdr:row>
      <xdr:rowOff>133350</xdr:rowOff>
    </xdr:from>
    <xdr:to>
      <xdr:col>1</xdr:col>
      <xdr:colOff>1615440</xdr:colOff>
      <xdr:row>137</xdr:row>
      <xdr:rowOff>2491740</xdr:rowOff>
    </xdr:to>
    <xdr:pic>
      <xdr:nvPicPr>
        <xdr:cNvPr id="208" name="Picture 56">
          <a:extLst>
            <a:ext uri="{FF2B5EF4-FFF2-40B4-BE49-F238E27FC236}">
              <a16:creationId xmlns:a16="http://schemas.microsoft.com/office/drawing/2014/main" id="{9DC8EFC1-82A0-4960-8CE8-1C824D1224AA}"/>
            </a:ext>
          </a:extLst>
        </xdr:cNvPr>
        <xdr:cNvPicPr>
          <a:picLocks noChangeAspect="1" noChangeArrowheads="1"/>
        </xdr:cNvPicPr>
      </xdr:nvPicPr>
      <xdr:blipFill>
        <a:blip xmlns:r="http://schemas.openxmlformats.org/officeDocument/2006/relationships" r:embed="rId106" cstate="print">
          <a:extLst>
            <a:ext uri="{28A0092B-C50C-407E-A947-70E740481C1C}">
              <a14:useLocalDpi xmlns:a14="http://schemas.microsoft.com/office/drawing/2010/main" val="0"/>
            </a:ext>
          </a:extLst>
        </a:blip>
        <a:srcRect/>
        <a:stretch>
          <a:fillRect/>
        </a:stretch>
      </xdr:blipFill>
      <xdr:spPr bwMode="auto">
        <a:xfrm>
          <a:off x="1485900" y="267357225"/>
          <a:ext cx="1209675" cy="23526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323850</xdr:colOff>
      <xdr:row>102</xdr:row>
      <xdr:rowOff>76200</xdr:rowOff>
    </xdr:from>
    <xdr:to>
      <xdr:col>1</xdr:col>
      <xdr:colOff>1790700</xdr:colOff>
      <xdr:row>102</xdr:row>
      <xdr:rowOff>1164382</xdr:rowOff>
    </xdr:to>
    <xdr:pic>
      <xdr:nvPicPr>
        <xdr:cNvPr id="175" name="Obrázek 174" descr="Dílenský stůl PS 1-2">
          <a:extLst>
            <a:ext uri="{FF2B5EF4-FFF2-40B4-BE49-F238E27FC236}">
              <a16:creationId xmlns:a16="http://schemas.microsoft.com/office/drawing/2014/main" id="{16FE6659-ABA3-46A6-A97B-1547EF743673}"/>
            </a:ext>
          </a:extLst>
        </xdr:cNvPr>
        <xdr:cNvPicPr>
          <a:picLocks noChangeAspect="1" noChangeArrowheads="1"/>
        </xdr:cNvPicPr>
      </xdr:nvPicPr>
      <xdr:blipFill rotWithShape="1">
        <a:blip xmlns:r="http://schemas.openxmlformats.org/officeDocument/2006/relationships" r:embed="rId107" cstate="print">
          <a:extLst>
            <a:ext uri="{BEBA8EAE-BF5A-486C-A8C5-ECC9F3942E4B}">
              <a14:imgProps xmlns:a14="http://schemas.microsoft.com/office/drawing/2010/main">
                <a14:imgLayer r:embed="rId108">
                  <a14:imgEffect>
                    <a14:saturation sat="0"/>
                  </a14:imgEffect>
                </a14:imgLayer>
              </a14:imgProps>
            </a:ext>
            <a:ext uri="{28A0092B-C50C-407E-A947-70E740481C1C}">
              <a14:useLocalDpi xmlns:a14="http://schemas.microsoft.com/office/drawing/2010/main" val="0"/>
            </a:ext>
          </a:extLst>
        </a:blip>
        <a:srcRect/>
        <a:stretch/>
      </xdr:blipFill>
      <xdr:spPr bwMode="auto">
        <a:xfrm>
          <a:off x="1409700" y="193262250"/>
          <a:ext cx="1466850" cy="108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571500</xdr:colOff>
      <xdr:row>76</xdr:row>
      <xdr:rowOff>34636</xdr:rowOff>
    </xdr:from>
    <xdr:ext cx="813954" cy="446993"/>
    <xdr:pic>
      <xdr:nvPicPr>
        <xdr:cNvPr id="188" name="Obrázek 187">
          <a:extLst>
            <a:ext uri="{FF2B5EF4-FFF2-40B4-BE49-F238E27FC236}">
              <a16:creationId xmlns:a16="http://schemas.microsoft.com/office/drawing/2014/main" id="{B86C9867-8794-42C4-84F4-86C76AF2E77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57350" y="154206286"/>
          <a:ext cx="813954" cy="4469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277091</xdr:colOff>
      <xdr:row>12</xdr:row>
      <xdr:rowOff>231887</xdr:rowOff>
    </xdr:from>
    <xdr:ext cx="1466850" cy="1015198"/>
    <xdr:pic>
      <xdr:nvPicPr>
        <xdr:cNvPr id="189" name="Obrázek 103">
          <a:extLst>
            <a:ext uri="{FF2B5EF4-FFF2-40B4-BE49-F238E27FC236}">
              <a16:creationId xmlns:a16="http://schemas.microsoft.com/office/drawing/2014/main" id="{19011101-9B77-4D62-B186-3ACA11D38CA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bwMode="auto">
        <a:xfrm>
          <a:off x="1362941" y="18015062"/>
          <a:ext cx="1466850" cy="101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1428750</xdr:colOff>
      <xdr:row>46</xdr:row>
      <xdr:rowOff>190500</xdr:rowOff>
    </xdr:from>
    <xdr:to>
      <xdr:col>1</xdr:col>
      <xdr:colOff>2036445</xdr:colOff>
      <xdr:row>46</xdr:row>
      <xdr:rowOff>1424940</xdr:rowOff>
    </xdr:to>
    <xdr:pic>
      <xdr:nvPicPr>
        <xdr:cNvPr id="210" name="Obrázek 12">
          <a:extLst>
            <a:ext uri="{FF2B5EF4-FFF2-40B4-BE49-F238E27FC236}">
              <a16:creationId xmlns:a16="http://schemas.microsoft.com/office/drawing/2014/main" id="{E270FA4E-F97F-4387-ACF6-FF2DE2D8AA5E}"/>
            </a:ext>
          </a:extLst>
        </xdr:cNvPr>
        <xdr:cNvPicPr>
          <a:picLocks noChangeAspect="1" noChangeArrowheads="1"/>
        </xdr:cNvPicPr>
      </xdr:nvPicPr>
      <xdr:blipFill>
        <a:blip xmlns:r="http://schemas.openxmlformats.org/officeDocument/2006/relationships" r:embed="rId109" cstate="print">
          <a:extLst>
            <a:ext uri="{28A0092B-C50C-407E-A947-70E740481C1C}">
              <a14:useLocalDpi xmlns:a14="http://schemas.microsoft.com/office/drawing/2010/main" val="0"/>
            </a:ext>
          </a:extLst>
        </a:blip>
        <a:srcRect/>
        <a:stretch>
          <a:fillRect/>
        </a:stretch>
      </xdr:blipFill>
      <xdr:spPr bwMode="auto">
        <a:xfrm>
          <a:off x="2514600" y="89115900"/>
          <a:ext cx="61912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161926</xdr:colOff>
      <xdr:row>46</xdr:row>
      <xdr:rowOff>64758</xdr:rowOff>
    </xdr:from>
    <xdr:to>
      <xdr:col>1</xdr:col>
      <xdr:colOff>1273131</xdr:colOff>
      <xdr:row>46</xdr:row>
      <xdr:rowOff>1543050</xdr:rowOff>
    </xdr:to>
    <xdr:pic>
      <xdr:nvPicPr>
        <xdr:cNvPr id="211" name="Obrázek 210">
          <a:extLst>
            <a:ext uri="{FF2B5EF4-FFF2-40B4-BE49-F238E27FC236}">
              <a16:creationId xmlns:a16="http://schemas.microsoft.com/office/drawing/2014/main" id="{AFCE6B74-8079-414F-A71B-7A8723A92F57}"/>
            </a:ext>
          </a:extLst>
        </xdr:cNvPr>
        <xdr:cNvPicPr>
          <a:picLocks noChangeAspect="1" noChangeArrowheads="1"/>
        </xdr:cNvPicPr>
      </xdr:nvPicPr>
      <xdr:blipFill>
        <a:blip xmlns:r="http://schemas.openxmlformats.org/officeDocument/2006/relationships" r:embed="rId110" cstate="print">
          <a:extLst>
            <a:ext uri="{28A0092B-C50C-407E-A947-70E740481C1C}">
              <a14:useLocalDpi xmlns:a14="http://schemas.microsoft.com/office/drawing/2010/main" val="0"/>
            </a:ext>
          </a:extLst>
        </a:blip>
        <a:srcRect/>
        <a:stretch>
          <a:fillRect/>
        </a:stretch>
      </xdr:blipFill>
      <xdr:spPr bwMode="auto">
        <a:xfrm>
          <a:off x="1247776" y="88990158"/>
          <a:ext cx="1101680" cy="1478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84497</xdr:colOff>
      <xdr:row>133</xdr:row>
      <xdr:rowOff>53771</xdr:rowOff>
    </xdr:from>
    <xdr:to>
      <xdr:col>1</xdr:col>
      <xdr:colOff>2150807</xdr:colOff>
      <xdr:row>133</xdr:row>
      <xdr:rowOff>1579951</xdr:rowOff>
    </xdr:to>
    <xdr:pic>
      <xdr:nvPicPr>
        <xdr:cNvPr id="209" name="Picture 2">
          <a:extLst>
            <a:ext uri="{FF2B5EF4-FFF2-40B4-BE49-F238E27FC236}">
              <a16:creationId xmlns:a16="http://schemas.microsoft.com/office/drawing/2014/main" id="{34E64925-0DB0-4E03-AB95-5B6ED9008A91}"/>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1167582" y="261376755"/>
          <a:ext cx="2066310" cy="1526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6"/>
  <sheetViews>
    <sheetView tabSelected="1" view="pageBreakPreview" zoomScale="85" zoomScaleNormal="136" zoomScaleSheetLayoutView="85" workbookViewId="0">
      <pane ySplit="3" topLeftCell="A4" activePane="bottomLeft" state="frozen"/>
      <selection activeCell="C1" sqref="C1"/>
      <selection pane="bottomLeft" activeCell="C4" sqref="C4"/>
    </sheetView>
  </sheetViews>
  <sheetFormatPr defaultColWidth="9.140625" defaultRowHeight="15" x14ac:dyDescent="0.25"/>
  <cols>
    <col min="1" max="1" width="7.140625" style="12" customWidth="1"/>
    <col min="2" max="2" width="34" style="4" customWidth="1"/>
    <col min="3" max="3" width="79" style="93" customWidth="1"/>
    <col min="4" max="4" width="19" style="7" customWidth="1"/>
    <col min="5" max="5" width="7.5703125" style="8" customWidth="1"/>
    <col min="6" max="8" width="7.5703125" style="83" customWidth="1"/>
    <col min="9" max="9" width="11.7109375" style="9" customWidth="1"/>
    <col min="10" max="10" width="15.5703125" style="9" bestFit="1" customWidth="1"/>
    <col min="11" max="11" width="11.5703125" style="9" customWidth="1"/>
    <col min="12" max="12" width="15.5703125" style="9" bestFit="1" customWidth="1"/>
    <col min="13" max="18" width="15.5703125" style="103" hidden="1" customWidth="1"/>
    <col min="19" max="19" width="13.140625" style="1" customWidth="1"/>
    <col min="20" max="20" width="40.7109375" style="1" customWidth="1"/>
    <col min="21" max="21" width="26" style="1" customWidth="1"/>
    <col min="22" max="16384" width="9.140625" style="1"/>
  </cols>
  <sheetData>
    <row r="1" spans="1:21" ht="16.5" thickBot="1" x14ac:dyDescent="0.3">
      <c r="A1" s="78" t="s">
        <v>193</v>
      </c>
      <c r="C1" s="158"/>
      <c r="S1" s="79"/>
      <c r="T1" s="80" t="s">
        <v>306</v>
      </c>
      <c r="U1" s="81"/>
    </row>
    <row r="2" spans="1:21" s="92" customFormat="1" ht="16.5" thickBot="1" x14ac:dyDescent="0.3">
      <c r="A2" s="78"/>
      <c r="B2" s="139" t="s">
        <v>370</v>
      </c>
      <c r="C2" s="158"/>
      <c r="D2" s="95"/>
      <c r="E2" s="8"/>
      <c r="F2" s="83"/>
      <c r="G2" s="83"/>
      <c r="H2" s="83"/>
      <c r="I2" s="9"/>
      <c r="J2" s="9"/>
      <c r="K2" s="9"/>
      <c r="L2" s="9"/>
      <c r="M2" s="103"/>
      <c r="N2" s="103"/>
      <c r="O2" s="103"/>
      <c r="P2" s="103"/>
      <c r="Q2" s="103"/>
      <c r="R2" s="103"/>
      <c r="S2" s="138"/>
      <c r="T2" s="80"/>
      <c r="U2" s="81"/>
    </row>
    <row r="3" spans="1:21" s="25" customFormat="1" ht="51.75" thickBot="1" x14ac:dyDescent="0.3">
      <c r="A3" s="47" t="s">
        <v>2</v>
      </c>
      <c r="B3" s="5" t="s">
        <v>7</v>
      </c>
      <c r="C3" s="5" t="s">
        <v>8</v>
      </c>
      <c r="D3" s="48" t="s">
        <v>100</v>
      </c>
      <c r="E3" s="49" t="s">
        <v>188</v>
      </c>
      <c r="F3" s="49" t="s">
        <v>189</v>
      </c>
      <c r="G3" s="49" t="s">
        <v>190</v>
      </c>
      <c r="H3" s="49" t="s">
        <v>187</v>
      </c>
      <c r="I3" s="50" t="s">
        <v>101</v>
      </c>
      <c r="J3" s="5" t="s">
        <v>102</v>
      </c>
      <c r="K3" s="5" t="s">
        <v>103</v>
      </c>
      <c r="L3" s="51" t="s">
        <v>104</v>
      </c>
      <c r="M3" s="104" t="s">
        <v>319</v>
      </c>
      <c r="N3" s="105" t="s">
        <v>322</v>
      </c>
      <c r="O3" s="104" t="s">
        <v>320</v>
      </c>
      <c r="P3" s="105" t="s">
        <v>323</v>
      </c>
      <c r="Q3" s="104" t="s">
        <v>321</v>
      </c>
      <c r="R3" s="105" t="s">
        <v>324</v>
      </c>
      <c r="S3" s="51" t="s">
        <v>307</v>
      </c>
      <c r="T3" s="51" t="s">
        <v>308</v>
      </c>
      <c r="U3" s="51" t="s">
        <v>309</v>
      </c>
    </row>
    <row r="4" spans="1:21" s="2" customFormat="1" ht="184.5" customHeight="1" x14ac:dyDescent="0.25">
      <c r="A4" s="69" t="s">
        <v>10</v>
      </c>
      <c r="B4" s="70"/>
      <c r="C4" s="65" t="s">
        <v>371</v>
      </c>
      <c r="D4" s="31" t="s">
        <v>211</v>
      </c>
      <c r="E4" s="67"/>
      <c r="F4" s="84">
        <f>1</f>
        <v>1</v>
      </c>
      <c r="G4" s="84"/>
      <c r="H4" s="84">
        <f>SUM(E4:G4)</f>
        <v>1</v>
      </c>
      <c r="I4" s="118">
        <v>0</v>
      </c>
      <c r="J4" s="46">
        <f>H4*I4</f>
        <v>0</v>
      </c>
      <c r="K4" s="118">
        <v>0</v>
      </c>
      <c r="L4" s="46">
        <f>K4*H4</f>
        <v>0</v>
      </c>
      <c r="M4" s="106">
        <f>E4*I4</f>
        <v>0</v>
      </c>
      <c r="N4" s="106">
        <f>E4*K4</f>
        <v>0</v>
      </c>
      <c r="O4" s="106">
        <f>F4*I4</f>
        <v>0</v>
      </c>
      <c r="P4" s="106">
        <f>F4*K4</f>
        <v>0</v>
      </c>
      <c r="Q4" s="106">
        <f>G4*I4</f>
        <v>0</v>
      </c>
      <c r="R4" s="106">
        <f>G4*K4</f>
        <v>0</v>
      </c>
      <c r="S4" s="135"/>
      <c r="T4" s="135"/>
      <c r="U4" s="135"/>
    </row>
    <row r="5" spans="1:21" s="2" customFormat="1" ht="153" x14ac:dyDescent="0.25">
      <c r="A5" s="13" t="s">
        <v>11</v>
      </c>
      <c r="B5" s="17"/>
      <c r="C5" s="30" t="s">
        <v>372</v>
      </c>
      <c r="D5" s="28" t="s">
        <v>12</v>
      </c>
      <c r="E5" s="28">
        <f>2</f>
        <v>2</v>
      </c>
      <c r="F5" s="31">
        <f>1</f>
        <v>1</v>
      </c>
      <c r="G5" s="31">
        <f>1</f>
        <v>1</v>
      </c>
      <c r="H5" s="31">
        <f t="shared" ref="H5:H82" si="0">SUM(E5:G5)</f>
        <v>4</v>
      </c>
      <c r="I5" s="118">
        <v>0</v>
      </c>
      <c r="J5" s="29">
        <f t="shared" ref="J5:J97" si="1">H5*I5</f>
        <v>0</v>
      </c>
      <c r="K5" s="118">
        <v>0</v>
      </c>
      <c r="L5" s="29">
        <f t="shared" ref="L5:L97" si="2">K5*H5</f>
        <v>0</v>
      </c>
      <c r="M5" s="106">
        <f t="shared" ref="M5:M68" si="3">E5*I5</f>
        <v>0</v>
      </c>
      <c r="N5" s="106">
        <f t="shared" ref="N5:N68" si="4">E5*K5</f>
        <v>0</v>
      </c>
      <c r="O5" s="106">
        <f t="shared" ref="O5:O68" si="5">F5*I5</f>
        <v>0</v>
      </c>
      <c r="P5" s="106">
        <f t="shared" ref="P5:P68" si="6">F5*K5</f>
        <v>0</v>
      </c>
      <c r="Q5" s="106">
        <f t="shared" ref="Q5:Q68" si="7">G5*I5</f>
        <v>0</v>
      </c>
      <c r="R5" s="106">
        <f t="shared" ref="R5:R68" si="8">G5*K5</f>
        <v>0</v>
      </c>
      <c r="S5" s="135"/>
      <c r="T5" s="135"/>
      <c r="U5" s="135"/>
    </row>
    <row r="6" spans="1:21" s="2" customFormat="1" ht="153" customHeight="1" x14ac:dyDescent="0.25">
      <c r="A6" s="13" t="s">
        <v>13</v>
      </c>
      <c r="B6" s="17"/>
      <c r="C6" s="65" t="s">
        <v>373</v>
      </c>
      <c r="D6" s="28" t="s">
        <v>216</v>
      </c>
      <c r="E6" s="28">
        <f>1</f>
        <v>1</v>
      </c>
      <c r="F6" s="31"/>
      <c r="G6" s="31"/>
      <c r="H6" s="31">
        <f t="shared" ref="H6:H8" si="9">SUM(E6:G6)</f>
        <v>1</v>
      </c>
      <c r="I6" s="118">
        <v>0</v>
      </c>
      <c r="J6" s="29">
        <f t="shared" ref="J6:J8" si="10">H6*I6</f>
        <v>0</v>
      </c>
      <c r="K6" s="118">
        <v>0</v>
      </c>
      <c r="L6" s="29">
        <f t="shared" ref="L6:L8" si="11">K6*H6</f>
        <v>0</v>
      </c>
      <c r="M6" s="106">
        <f t="shared" si="3"/>
        <v>0</v>
      </c>
      <c r="N6" s="106">
        <f t="shared" si="4"/>
        <v>0</v>
      </c>
      <c r="O6" s="106">
        <f t="shared" si="5"/>
        <v>0</v>
      </c>
      <c r="P6" s="106">
        <f t="shared" si="6"/>
        <v>0</v>
      </c>
      <c r="Q6" s="106">
        <f t="shared" si="7"/>
        <v>0</v>
      </c>
      <c r="R6" s="106">
        <f t="shared" si="8"/>
        <v>0</v>
      </c>
      <c r="S6" s="135"/>
      <c r="T6" s="135"/>
      <c r="U6" s="135"/>
    </row>
    <row r="7" spans="1:21" s="2" customFormat="1" ht="162.75" customHeight="1" x14ac:dyDescent="0.25">
      <c r="A7" s="13" t="s">
        <v>15</v>
      </c>
      <c r="B7" s="17"/>
      <c r="C7" s="30" t="s">
        <v>374</v>
      </c>
      <c r="D7" s="28" t="s">
        <v>25</v>
      </c>
      <c r="E7" s="28"/>
      <c r="F7" s="31">
        <f>1+2</f>
        <v>3</v>
      </c>
      <c r="G7" s="31">
        <f>3</f>
        <v>3</v>
      </c>
      <c r="H7" s="31">
        <f t="shared" si="9"/>
        <v>6</v>
      </c>
      <c r="I7" s="118">
        <v>0</v>
      </c>
      <c r="J7" s="29">
        <f t="shared" si="10"/>
        <v>0</v>
      </c>
      <c r="K7" s="118">
        <v>0</v>
      </c>
      <c r="L7" s="29">
        <f t="shared" si="11"/>
        <v>0</v>
      </c>
      <c r="M7" s="106">
        <f t="shared" si="3"/>
        <v>0</v>
      </c>
      <c r="N7" s="106">
        <f t="shared" si="4"/>
        <v>0</v>
      </c>
      <c r="O7" s="106">
        <f t="shared" si="5"/>
        <v>0</v>
      </c>
      <c r="P7" s="106">
        <f t="shared" si="6"/>
        <v>0</v>
      </c>
      <c r="Q7" s="106">
        <f t="shared" si="7"/>
        <v>0</v>
      </c>
      <c r="R7" s="106">
        <f t="shared" si="8"/>
        <v>0</v>
      </c>
      <c r="S7" s="135"/>
      <c r="T7" s="135"/>
      <c r="U7" s="135"/>
    </row>
    <row r="8" spans="1:21" s="2" customFormat="1" ht="165" customHeight="1" x14ac:dyDescent="0.25">
      <c r="A8" s="13" t="s">
        <v>16</v>
      </c>
      <c r="B8" s="17"/>
      <c r="C8" s="30" t="s">
        <v>375</v>
      </c>
      <c r="D8" s="28" t="s">
        <v>26</v>
      </c>
      <c r="E8" s="28"/>
      <c r="F8" s="31">
        <f>2+2</f>
        <v>4</v>
      </c>
      <c r="G8" s="31">
        <f>1+2</f>
        <v>3</v>
      </c>
      <c r="H8" s="31">
        <f t="shared" si="9"/>
        <v>7</v>
      </c>
      <c r="I8" s="118">
        <v>0</v>
      </c>
      <c r="J8" s="29">
        <f t="shared" si="10"/>
        <v>0</v>
      </c>
      <c r="K8" s="118">
        <v>0</v>
      </c>
      <c r="L8" s="29">
        <f t="shared" si="11"/>
        <v>0</v>
      </c>
      <c r="M8" s="106">
        <f t="shared" si="3"/>
        <v>0</v>
      </c>
      <c r="N8" s="106">
        <f t="shared" si="4"/>
        <v>0</v>
      </c>
      <c r="O8" s="106">
        <f t="shared" si="5"/>
        <v>0</v>
      </c>
      <c r="P8" s="106">
        <f t="shared" si="6"/>
        <v>0</v>
      </c>
      <c r="Q8" s="106">
        <f t="shared" si="7"/>
        <v>0</v>
      </c>
      <c r="R8" s="106">
        <f t="shared" si="8"/>
        <v>0</v>
      </c>
      <c r="S8" s="135"/>
      <c r="T8" s="135"/>
      <c r="U8" s="135"/>
    </row>
    <row r="9" spans="1:21" s="2" customFormat="1" ht="198.75" customHeight="1" x14ac:dyDescent="0.25">
      <c r="A9" s="13" t="s">
        <v>18</v>
      </c>
      <c r="B9" s="17"/>
      <c r="C9" s="65" t="s">
        <v>376</v>
      </c>
      <c r="D9" s="28" t="s">
        <v>14</v>
      </c>
      <c r="E9" s="28">
        <f>1+1</f>
        <v>2</v>
      </c>
      <c r="F9" s="31">
        <f>3</f>
        <v>3</v>
      </c>
      <c r="G9" s="31"/>
      <c r="H9" s="31">
        <f t="shared" si="0"/>
        <v>5</v>
      </c>
      <c r="I9" s="118">
        <v>0</v>
      </c>
      <c r="J9" s="29">
        <f t="shared" si="1"/>
        <v>0</v>
      </c>
      <c r="K9" s="118">
        <v>0</v>
      </c>
      <c r="L9" s="29">
        <f t="shared" si="2"/>
        <v>0</v>
      </c>
      <c r="M9" s="106">
        <f t="shared" si="3"/>
        <v>0</v>
      </c>
      <c r="N9" s="106">
        <f t="shared" si="4"/>
        <v>0</v>
      </c>
      <c r="O9" s="106">
        <f t="shared" si="5"/>
        <v>0</v>
      </c>
      <c r="P9" s="106">
        <f t="shared" si="6"/>
        <v>0</v>
      </c>
      <c r="Q9" s="106">
        <f t="shared" si="7"/>
        <v>0</v>
      </c>
      <c r="R9" s="106">
        <f t="shared" si="8"/>
        <v>0</v>
      </c>
      <c r="S9" s="135"/>
      <c r="T9" s="135"/>
      <c r="U9" s="135"/>
    </row>
    <row r="10" spans="1:21" s="2" customFormat="1" ht="198.75" customHeight="1" x14ac:dyDescent="0.25">
      <c r="A10" s="13" t="s">
        <v>20</v>
      </c>
      <c r="B10" s="17"/>
      <c r="C10" s="65" t="s">
        <v>376</v>
      </c>
      <c r="D10" s="28" t="s">
        <v>19</v>
      </c>
      <c r="E10" s="28"/>
      <c r="F10" s="31">
        <f>4+2+2</f>
        <v>8</v>
      </c>
      <c r="G10" s="31">
        <f>2+2</f>
        <v>4</v>
      </c>
      <c r="H10" s="31">
        <f t="shared" ref="H10:H11" si="12">SUM(E10:G10)</f>
        <v>12</v>
      </c>
      <c r="I10" s="118">
        <v>0</v>
      </c>
      <c r="J10" s="29">
        <f t="shared" ref="J10:J11" si="13">H10*I10</f>
        <v>0</v>
      </c>
      <c r="K10" s="118">
        <v>0</v>
      </c>
      <c r="L10" s="29">
        <f t="shared" ref="L10:L11" si="14">K10*H10</f>
        <v>0</v>
      </c>
      <c r="M10" s="106">
        <f t="shared" si="3"/>
        <v>0</v>
      </c>
      <c r="N10" s="106">
        <f t="shared" si="4"/>
        <v>0</v>
      </c>
      <c r="O10" s="106">
        <f t="shared" si="5"/>
        <v>0</v>
      </c>
      <c r="P10" s="106">
        <f t="shared" si="6"/>
        <v>0</v>
      </c>
      <c r="Q10" s="106">
        <f t="shared" si="7"/>
        <v>0</v>
      </c>
      <c r="R10" s="106">
        <f t="shared" si="8"/>
        <v>0</v>
      </c>
      <c r="S10" s="135"/>
      <c r="T10" s="135"/>
      <c r="U10" s="135"/>
    </row>
    <row r="11" spans="1:21" s="2" customFormat="1" ht="187.5" customHeight="1" x14ac:dyDescent="0.25">
      <c r="A11" s="13" t="s">
        <v>22</v>
      </c>
      <c r="B11" s="17"/>
      <c r="C11" s="65" t="s">
        <v>377</v>
      </c>
      <c r="D11" s="28" t="s">
        <v>21</v>
      </c>
      <c r="E11" s="28"/>
      <c r="F11" s="31">
        <f>1+4+4</f>
        <v>9</v>
      </c>
      <c r="G11" s="31">
        <f>3+3</f>
        <v>6</v>
      </c>
      <c r="H11" s="31">
        <f t="shared" si="12"/>
        <v>15</v>
      </c>
      <c r="I11" s="118">
        <v>0</v>
      </c>
      <c r="J11" s="29">
        <f t="shared" si="13"/>
        <v>0</v>
      </c>
      <c r="K11" s="118">
        <v>0</v>
      </c>
      <c r="L11" s="29">
        <f t="shared" si="14"/>
        <v>0</v>
      </c>
      <c r="M11" s="106">
        <f t="shared" si="3"/>
        <v>0</v>
      </c>
      <c r="N11" s="106">
        <f t="shared" si="4"/>
        <v>0</v>
      </c>
      <c r="O11" s="106">
        <f t="shared" si="5"/>
        <v>0</v>
      </c>
      <c r="P11" s="106">
        <f t="shared" si="6"/>
        <v>0</v>
      </c>
      <c r="Q11" s="106">
        <f t="shared" si="7"/>
        <v>0</v>
      </c>
      <c r="R11" s="106">
        <f t="shared" si="8"/>
        <v>0</v>
      </c>
      <c r="S11" s="135"/>
      <c r="T11" s="135"/>
      <c r="U11" s="135"/>
    </row>
    <row r="12" spans="1:21" s="2" customFormat="1" ht="193.5" customHeight="1" x14ac:dyDescent="0.25">
      <c r="A12" s="13" t="s">
        <v>23</v>
      </c>
      <c r="B12" s="17"/>
      <c r="C12" s="30" t="s">
        <v>224</v>
      </c>
      <c r="D12" s="28" t="s">
        <v>14</v>
      </c>
      <c r="E12" s="28">
        <f>10+14+22</f>
        <v>46</v>
      </c>
      <c r="F12" s="31">
        <f>15+40+30+2</f>
        <v>87</v>
      </c>
      <c r="G12" s="31">
        <f>34+30+28</f>
        <v>92</v>
      </c>
      <c r="H12" s="31">
        <f t="shared" si="0"/>
        <v>225</v>
      </c>
      <c r="I12" s="118">
        <v>0</v>
      </c>
      <c r="J12" s="29">
        <f t="shared" si="1"/>
        <v>0</v>
      </c>
      <c r="K12" s="118">
        <v>0</v>
      </c>
      <c r="L12" s="29">
        <f t="shared" si="2"/>
        <v>0</v>
      </c>
      <c r="M12" s="106">
        <f t="shared" si="3"/>
        <v>0</v>
      </c>
      <c r="N12" s="106">
        <f t="shared" si="4"/>
        <v>0</v>
      </c>
      <c r="O12" s="106">
        <f t="shared" si="5"/>
        <v>0</v>
      </c>
      <c r="P12" s="106">
        <f t="shared" si="6"/>
        <v>0</v>
      </c>
      <c r="Q12" s="106">
        <f t="shared" si="7"/>
        <v>0</v>
      </c>
      <c r="R12" s="106">
        <f t="shared" si="8"/>
        <v>0</v>
      </c>
      <c r="S12" s="135"/>
      <c r="T12" s="135"/>
      <c r="U12" s="135"/>
    </row>
    <row r="13" spans="1:21" s="2" customFormat="1" ht="178.5" x14ac:dyDescent="0.25">
      <c r="A13" s="13" t="s">
        <v>300</v>
      </c>
      <c r="B13" s="17"/>
      <c r="C13" s="30" t="s">
        <v>224</v>
      </c>
      <c r="D13" s="28" t="s">
        <v>19</v>
      </c>
      <c r="E13" s="28"/>
      <c r="F13" s="31"/>
      <c r="G13" s="31">
        <f>8</f>
        <v>8</v>
      </c>
      <c r="H13" s="31">
        <f t="shared" ref="H13" si="15">SUM(E13:G13)</f>
        <v>8</v>
      </c>
      <c r="I13" s="118">
        <v>0</v>
      </c>
      <c r="J13" s="75">
        <f t="shared" ref="J13" si="16">H13*I13</f>
        <v>0</v>
      </c>
      <c r="K13" s="118">
        <v>0</v>
      </c>
      <c r="L13" s="75">
        <f t="shared" ref="L13" si="17">K13*H13</f>
        <v>0</v>
      </c>
      <c r="M13" s="106">
        <f t="shared" si="3"/>
        <v>0</v>
      </c>
      <c r="N13" s="106">
        <f t="shared" si="4"/>
        <v>0</v>
      </c>
      <c r="O13" s="106">
        <f t="shared" si="5"/>
        <v>0</v>
      </c>
      <c r="P13" s="106">
        <f t="shared" si="6"/>
        <v>0</v>
      </c>
      <c r="Q13" s="106">
        <f t="shared" si="7"/>
        <v>0</v>
      </c>
      <c r="R13" s="106">
        <f t="shared" si="8"/>
        <v>0</v>
      </c>
      <c r="S13" s="135"/>
      <c r="T13" s="135"/>
      <c r="U13" s="135"/>
    </row>
    <row r="14" spans="1:21" s="2" customFormat="1" ht="178.5" x14ac:dyDescent="0.25">
      <c r="A14" s="13" t="s">
        <v>24</v>
      </c>
      <c r="B14" s="17"/>
      <c r="C14" s="30" t="s">
        <v>224</v>
      </c>
      <c r="D14" s="28" t="s">
        <v>17</v>
      </c>
      <c r="E14" s="28"/>
      <c r="F14" s="31">
        <f>4+4</f>
        <v>8</v>
      </c>
      <c r="G14" s="31"/>
      <c r="H14" s="31">
        <f t="shared" si="0"/>
        <v>8</v>
      </c>
      <c r="I14" s="118">
        <v>0</v>
      </c>
      <c r="J14" s="29">
        <f t="shared" si="1"/>
        <v>0</v>
      </c>
      <c r="K14" s="118">
        <v>0</v>
      </c>
      <c r="L14" s="29">
        <f t="shared" si="2"/>
        <v>0</v>
      </c>
      <c r="M14" s="106">
        <f t="shared" si="3"/>
        <v>0</v>
      </c>
      <c r="N14" s="106">
        <f t="shared" si="4"/>
        <v>0</v>
      </c>
      <c r="O14" s="106">
        <f t="shared" si="5"/>
        <v>0</v>
      </c>
      <c r="P14" s="106">
        <f t="shared" si="6"/>
        <v>0</v>
      </c>
      <c r="Q14" s="106">
        <f t="shared" si="7"/>
        <v>0</v>
      </c>
      <c r="R14" s="106">
        <f t="shared" si="8"/>
        <v>0</v>
      </c>
      <c r="S14" s="135"/>
      <c r="T14" s="135"/>
      <c r="U14" s="135"/>
    </row>
    <row r="15" spans="1:21" s="2" customFormat="1" ht="219.75" customHeight="1" x14ac:dyDescent="0.25">
      <c r="A15" s="13" t="s">
        <v>27</v>
      </c>
      <c r="B15" s="17"/>
      <c r="C15" s="39" t="s">
        <v>378</v>
      </c>
      <c r="D15" s="28" t="s">
        <v>127</v>
      </c>
      <c r="E15" s="28"/>
      <c r="F15" s="31">
        <f>20+32</f>
        <v>52</v>
      </c>
      <c r="G15" s="31">
        <f>24</f>
        <v>24</v>
      </c>
      <c r="H15" s="31">
        <f t="shared" si="0"/>
        <v>76</v>
      </c>
      <c r="I15" s="118">
        <v>0</v>
      </c>
      <c r="J15" s="29">
        <f t="shared" si="1"/>
        <v>0</v>
      </c>
      <c r="K15" s="118">
        <v>0</v>
      </c>
      <c r="L15" s="29">
        <f t="shared" si="2"/>
        <v>0</v>
      </c>
      <c r="M15" s="106">
        <f t="shared" si="3"/>
        <v>0</v>
      </c>
      <c r="N15" s="106">
        <f t="shared" si="4"/>
        <v>0</v>
      </c>
      <c r="O15" s="106">
        <f t="shared" si="5"/>
        <v>0</v>
      </c>
      <c r="P15" s="106">
        <f t="shared" si="6"/>
        <v>0</v>
      </c>
      <c r="Q15" s="106">
        <f t="shared" si="7"/>
        <v>0</v>
      </c>
      <c r="R15" s="106">
        <f t="shared" si="8"/>
        <v>0</v>
      </c>
      <c r="S15" s="135"/>
      <c r="T15" s="135"/>
      <c r="U15" s="135"/>
    </row>
    <row r="16" spans="1:21" s="2" customFormat="1" ht="102" x14ac:dyDescent="0.25">
      <c r="A16" s="13" t="s">
        <v>28</v>
      </c>
      <c r="B16" s="17"/>
      <c r="C16" s="65" t="s">
        <v>244</v>
      </c>
      <c r="D16" s="28" t="s">
        <v>14</v>
      </c>
      <c r="E16" s="28"/>
      <c r="F16" s="31">
        <f>1+2</f>
        <v>3</v>
      </c>
      <c r="G16" s="31">
        <f>1+2+2</f>
        <v>5</v>
      </c>
      <c r="H16" s="31">
        <f t="shared" si="0"/>
        <v>8</v>
      </c>
      <c r="I16" s="118">
        <v>0</v>
      </c>
      <c r="J16" s="29">
        <f t="shared" si="1"/>
        <v>0</v>
      </c>
      <c r="K16" s="118">
        <v>0</v>
      </c>
      <c r="L16" s="29">
        <f t="shared" si="2"/>
        <v>0</v>
      </c>
      <c r="M16" s="106">
        <f t="shared" si="3"/>
        <v>0</v>
      </c>
      <c r="N16" s="106">
        <f t="shared" si="4"/>
        <v>0</v>
      </c>
      <c r="O16" s="106">
        <f t="shared" si="5"/>
        <v>0</v>
      </c>
      <c r="P16" s="106">
        <f t="shared" si="6"/>
        <v>0</v>
      </c>
      <c r="Q16" s="106">
        <f t="shared" si="7"/>
        <v>0</v>
      </c>
      <c r="R16" s="106">
        <f t="shared" si="8"/>
        <v>0</v>
      </c>
      <c r="S16" s="135"/>
      <c r="T16" s="135"/>
      <c r="U16" s="135"/>
    </row>
    <row r="17" spans="1:21" s="2" customFormat="1" ht="178.5" x14ac:dyDescent="0.25">
      <c r="A17" s="13" t="s">
        <v>29</v>
      </c>
      <c r="B17" s="17"/>
      <c r="C17" s="30" t="s">
        <v>126</v>
      </c>
      <c r="D17" s="28" t="s">
        <v>14</v>
      </c>
      <c r="E17" s="28"/>
      <c r="F17" s="31">
        <f>1</f>
        <v>1</v>
      </c>
      <c r="G17" s="31"/>
      <c r="H17" s="31">
        <f t="shared" si="0"/>
        <v>1</v>
      </c>
      <c r="I17" s="118">
        <v>0</v>
      </c>
      <c r="J17" s="29">
        <f t="shared" si="1"/>
        <v>0</v>
      </c>
      <c r="K17" s="118">
        <v>0</v>
      </c>
      <c r="L17" s="29">
        <f t="shared" si="2"/>
        <v>0</v>
      </c>
      <c r="M17" s="106">
        <f t="shared" si="3"/>
        <v>0</v>
      </c>
      <c r="N17" s="106">
        <f t="shared" si="4"/>
        <v>0</v>
      </c>
      <c r="O17" s="106">
        <f t="shared" si="5"/>
        <v>0</v>
      </c>
      <c r="P17" s="106">
        <f t="shared" si="6"/>
        <v>0</v>
      </c>
      <c r="Q17" s="106">
        <f t="shared" si="7"/>
        <v>0</v>
      </c>
      <c r="R17" s="106">
        <f t="shared" si="8"/>
        <v>0</v>
      </c>
      <c r="S17" s="135"/>
      <c r="T17" s="135"/>
      <c r="U17" s="135"/>
    </row>
    <row r="18" spans="1:21" s="27" customFormat="1" ht="156" customHeight="1" x14ac:dyDescent="0.25">
      <c r="A18" s="13" t="s">
        <v>106</v>
      </c>
      <c r="B18" s="17"/>
      <c r="C18" s="65" t="s">
        <v>379</v>
      </c>
      <c r="D18" s="28" t="s">
        <v>21</v>
      </c>
      <c r="E18" s="28"/>
      <c r="F18" s="31">
        <f>6</f>
        <v>6</v>
      </c>
      <c r="G18" s="31"/>
      <c r="H18" s="31">
        <f t="shared" si="0"/>
        <v>6</v>
      </c>
      <c r="I18" s="118">
        <v>0</v>
      </c>
      <c r="J18" s="29">
        <f t="shared" ref="J18:J21" si="18">H18*I18</f>
        <v>0</v>
      </c>
      <c r="K18" s="118">
        <v>0</v>
      </c>
      <c r="L18" s="29">
        <f t="shared" ref="L18:L21" si="19">K18*H18</f>
        <v>0</v>
      </c>
      <c r="M18" s="106">
        <f t="shared" si="3"/>
        <v>0</v>
      </c>
      <c r="N18" s="106">
        <f t="shared" si="4"/>
        <v>0</v>
      </c>
      <c r="O18" s="106">
        <f t="shared" si="5"/>
        <v>0</v>
      </c>
      <c r="P18" s="106">
        <f t="shared" si="6"/>
        <v>0</v>
      </c>
      <c r="Q18" s="106">
        <f t="shared" si="7"/>
        <v>0</v>
      </c>
      <c r="R18" s="106">
        <f t="shared" si="8"/>
        <v>0</v>
      </c>
      <c r="S18" s="135"/>
      <c r="T18" s="135"/>
      <c r="U18" s="135"/>
    </row>
    <row r="19" spans="1:21" s="27" customFormat="1" ht="127.5" x14ac:dyDescent="0.25">
      <c r="A19" s="13" t="s">
        <v>107</v>
      </c>
      <c r="B19" s="17"/>
      <c r="C19" s="65" t="s">
        <v>313</v>
      </c>
      <c r="D19" s="28" t="s">
        <v>110</v>
      </c>
      <c r="E19" s="28"/>
      <c r="F19" s="31"/>
      <c r="G19" s="31">
        <f>4</f>
        <v>4</v>
      </c>
      <c r="H19" s="31">
        <f t="shared" si="0"/>
        <v>4</v>
      </c>
      <c r="I19" s="118">
        <v>0</v>
      </c>
      <c r="J19" s="29">
        <f t="shared" si="18"/>
        <v>0</v>
      </c>
      <c r="K19" s="118">
        <v>0</v>
      </c>
      <c r="L19" s="29">
        <f t="shared" si="19"/>
        <v>0</v>
      </c>
      <c r="M19" s="106">
        <f t="shared" si="3"/>
        <v>0</v>
      </c>
      <c r="N19" s="106">
        <f t="shared" si="4"/>
        <v>0</v>
      </c>
      <c r="O19" s="106">
        <f t="shared" si="5"/>
        <v>0</v>
      </c>
      <c r="P19" s="106">
        <f t="shared" si="6"/>
        <v>0</v>
      </c>
      <c r="Q19" s="106">
        <f t="shared" si="7"/>
        <v>0</v>
      </c>
      <c r="R19" s="106">
        <f t="shared" si="8"/>
        <v>0</v>
      </c>
      <c r="S19" s="135"/>
      <c r="T19" s="135"/>
      <c r="U19" s="135"/>
    </row>
    <row r="20" spans="1:21" s="27" customFormat="1" ht="153" x14ac:dyDescent="0.25">
      <c r="A20" s="13" t="s">
        <v>108</v>
      </c>
      <c r="B20" s="17"/>
      <c r="C20" s="65" t="s">
        <v>225</v>
      </c>
      <c r="D20" s="28" t="s">
        <v>109</v>
      </c>
      <c r="E20" s="28"/>
      <c r="F20" s="31"/>
      <c r="G20" s="31">
        <f>2+2</f>
        <v>4</v>
      </c>
      <c r="H20" s="31">
        <f t="shared" si="0"/>
        <v>4</v>
      </c>
      <c r="I20" s="118">
        <v>0</v>
      </c>
      <c r="J20" s="29">
        <f t="shared" si="18"/>
        <v>0</v>
      </c>
      <c r="K20" s="118">
        <v>0</v>
      </c>
      <c r="L20" s="29">
        <f t="shared" si="19"/>
        <v>0</v>
      </c>
      <c r="M20" s="106">
        <f t="shared" si="3"/>
        <v>0</v>
      </c>
      <c r="N20" s="106">
        <f t="shared" si="4"/>
        <v>0</v>
      </c>
      <c r="O20" s="106">
        <f t="shared" si="5"/>
        <v>0</v>
      </c>
      <c r="P20" s="106">
        <f t="shared" si="6"/>
        <v>0</v>
      </c>
      <c r="Q20" s="106">
        <f t="shared" si="7"/>
        <v>0</v>
      </c>
      <c r="R20" s="106">
        <f t="shared" si="8"/>
        <v>0</v>
      </c>
      <c r="S20" s="135"/>
      <c r="T20" s="135"/>
      <c r="U20" s="135"/>
    </row>
    <row r="21" spans="1:21" s="2" customFormat="1" ht="219.75" customHeight="1" x14ac:dyDescent="0.25">
      <c r="A21" s="13" t="s">
        <v>119</v>
      </c>
      <c r="B21" s="17"/>
      <c r="C21" s="39" t="s">
        <v>380</v>
      </c>
      <c r="D21" s="28" t="s">
        <v>128</v>
      </c>
      <c r="E21" s="28"/>
      <c r="F21" s="31"/>
      <c r="G21" s="31">
        <f>25+25</f>
        <v>50</v>
      </c>
      <c r="H21" s="31">
        <f t="shared" si="0"/>
        <v>50</v>
      </c>
      <c r="I21" s="118">
        <v>0</v>
      </c>
      <c r="J21" s="29">
        <f t="shared" si="18"/>
        <v>0</v>
      </c>
      <c r="K21" s="118">
        <v>0</v>
      </c>
      <c r="L21" s="29">
        <f t="shared" si="19"/>
        <v>0</v>
      </c>
      <c r="M21" s="106">
        <f t="shared" si="3"/>
        <v>0</v>
      </c>
      <c r="N21" s="106">
        <f t="shared" si="4"/>
        <v>0</v>
      </c>
      <c r="O21" s="106">
        <f t="shared" si="5"/>
        <v>0</v>
      </c>
      <c r="P21" s="106">
        <f t="shared" si="6"/>
        <v>0</v>
      </c>
      <c r="Q21" s="106">
        <f t="shared" si="7"/>
        <v>0</v>
      </c>
      <c r="R21" s="106">
        <f t="shared" si="8"/>
        <v>0</v>
      </c>
      <c r="S21" s="135"/>
      <c r="T21" s="135"/>
      <c r="U21" s="135"/>
    </row>
    <row r="22" spans="1:21" s="2" customFormat="1" ht="112.5" customHeight="1" x14ac:dyDescent="0.25">
      <c r="A22" s="13" t="s">
        <v>206</v>
      </c>
      <c r="B22" s="17"/>
      <c r="C22" s="65" t="s">
        <v>381</v>
      </c>
      <c r="D22" s="28" t="s">
        <v>128</v>
      </c>
      <c r="E22" s="28"/>
      <c r="F22" s="31"/>
      <c r="G22" s="31">
        <f>25</f>
        <v>25</v>
      </c>
      <c r="H22" s="31">
        <f t="shared" ref="H22" si="20">SUM(E22:G22)</f>
        <v>25</v>
      </c>
      <c r="I22" s="118">
        <v>0</v>
      </c>
      <c r="J22" s="29">
        <f t="shared" ref="J22" si="21">H22*I22</f>
        <v>0</v>
      </c>
      <c r="K22" s="118">
        <v>0</v>
      </c>
      <c r="L22" s="29">
        <f t="shared" ref="L22" si="22">K22*H22</f>
        <v>0</v>
      </c>
      <c r="M22" s="106">
        <f t="shared" si="3"/>
        <v>0</v>
      </c>
      <c r="N22" s="106">
        <f t="shared" si="4"/>
        <v>0</v>
      </c>
      <c r="O22" s="106">
        <f t="shared" si="5"/>
        <v>0</v>
      </c>
      <c r="P22" s="106">
        <f t="shared" si="6"/>
        <v>0</v>
      </c>
      <c r="Q22" s="106">
        <f t="shared" si="7"/>
        <v>0</v>
      </c>
      <c r="R22" s="106">
        <f t="shared" si="8"/>
        <v>0</v>
      </c>
      <c r="S22" s="135"/>
      <c r="T22" s="135"/>
      <c r="U22" s="135"/>
    </row>
    <row r="23" spans="1:21" s="2" customFormat="1" ht="197.25" customHeight="1" x14ac:dyDescent="0.25">
      <c r="A23" s="13" t="s">
        <v>31</v>
      </c>
      <c r="B23" s="17"/>
      <c r="C23" s="39" t="s">
        <v>382</v>
      </c>
      <c r="D23" s="28" t="s">
        <v>32</v>
      </c>
      <c r="E23" s="28">
        <f>2+2</f>
        <v>4</v>
      </c>
      <c r="F23" s="31">
        <f>1</f>
        <v>1</v>
      </c>
      <c r="G23" s="31">
        <f>2</f>
        <v>2</v>
      </c>
      <c r="H23" s="31">
        <f t="shared" si="0"/>
        <v>7</v>
      </c>
      <c r="I23" s="118">
        <v>0</v>
      </c>
      <c r="J23" s="29">
        <f t="shared" si="1"/>
        <v>0</v>
      </c>
      <c r="K23" s="118">
        <v>0</v>
      </c>
      <c r="L23" s="29">
        <f t="shared" si="2"/>
        <v>0</v>
      </c>
      <c r="M23" s="106">
        <f t="shared" si="3"/>
        <v>0</v>
      </c>
      <c r="N23" s="106">
        <f t="shared" si="4"/>
        <v>0</v>
      </c>
      <c r="O23" s="106">
        <f t="shared" si="5"/>
        <v>0</v>
      </c>
      <c r="P23" s="106">
        <f t="shared" si="6"/>
        <v>0</v>
      </c>
      <c r="Q23" s="106">
        <f t="shared" si="7"/>
        <v>0</v>
      </c>
      <c r="R23" s="106">
        <f t="shared" si="8"/>
        <v>0</v>
      </c>
      <c r="S23" s="135"/>
      <c r="T23" s="135"/>
      <c r="U23" s="135"/>
    </row>
    <row r="24" spans="1:21" s="2" customFormat="1" ht="102" x14ac:dyDescent="0.25">
      <c r="A24" s="13" t="s">
        <v>33</v>
      </c>
      <c r="B24" s="17"/>
      <c r="C24" s="30" t="s">
        <v>310</v>
      </c>
      <c r="D24" s="31" t="s">
        <v>34</v>
      </c>
      <c r="E24" s="28">
        <f>1+1</f>
        <v>2</v>
      </c>
      <c r="F24" s="31">
        <f>4</f>
        <v>4</v>
      </c>
      <c r="G24" s="31">
        <f>1</f>
        <v>1</v>
      </c>
      <c r="H24" s="31">
        <f t="shared" si="0"/>
        <v>7</v>
      </c>
      <c r="I24" s="118">
        <v>0</v>
      </c>
      <c r="J24" s="29">
        <f t="shared" si="1"/>
        <v>0</v>
      </c>
      <c r="K24" s="118">
        <v>0</v>
      </c>
      <c r="L24" s="29">
        <f t="shared" si="2"/>
        <v>0</v>
      </c>
      <c r="M24" s="106">
        <f t="shared" si="3"/>
        <v>0</v>
      </c>
      <c r="N24" s="106">
        <f t="shared" si="4"/>
        <v>0</v>
      </c>
      <c r="O24" s="106">
        <f t="shared" si="5"/>
        <v>0</v>
      </c>
      <c r="P24" s="106">
        <f t="shared" si="6"/>
        <v>0</v>
      </c>
      <c r="Q24" s="106">
        <f t="shared" si="7"/>
        <v>0</v>
      </c>
      <c r="R24" s="106">
        <f t="shared" si="8"/>
        <v>0</v>
      </c>
      <c r="S24" s="135"/>
      <c r="T24" s="135"/>
      <c r="U24" s="135"/>
    </row>
    <row r="25" spans="1:21" s="2" customFormat="1" ht="102" x14ac:dyDescent="0.25">
      <c r="A25" s="13" t="s">
        <v>35</v>
      </c>
      <c r="B25" s="17"/>
      <c r="C25" s="65" t="s">
        <v>311</v>
      </c>
      <c r="D25" s="31" t="s">
        <v>215</v>
      </c>
      <c r="E25" s="28"/>
      <c r="F25" s="31">
        <f>1</f>
        <v>1</v>
      </c>
      <c r="G25" s="31"/>
      <c r="H25" s="31">
        <f t="shared" si="0"/>
        <v>1</v>
      </c>
      <c r="I25" s="118">
        <v>0</v>
      </c>
      <c r="J25" s="29">
        <f t="shared" ref="J25" si="23">H25*I25</f>
        <v>0</v>
      </c>
      <c r="K25" s="118">
        <v>0</v>
      </c>
      <c r="L25" s="29">
        <f t="shared" ref="L25" si="24">K25*H25</f>
        <v>0</v>
      </c>
      <c r="M25" s="106">
        <f t="shared" si="3"/>
        <v>0</v>
      </c>
      <c r="N25" s="106">
        <f t="shared" si="4"/>
        <v>0</v>
      </c>
      <c r="O25" s="106">
        <f t="shared" si="5"/>
        <v>0</v>
      </c>
      <c r="P25" s="106">
        <f t="shared" si="6"/>
        <v>0</v>
      </c>
      <c r="Q25" s="106">
        <f t="shared" si="7"/>
        <v>0</v>
      </c>
      <c r="R25" s="106">
        <f t="shared" si="8"/>
        <v>0</v>
      </c>
      <c r="S25" s="135"/>
      <c r="T25" s="135"/>
      <c r="U25" s="135"/>
    </row>
    <row r="26" spans="1:21" s="2" customFormat="1" ht="184.5" customHeight="1" x14ac:dyDescent="0.25">
      <c r="A26" s="13" t="s">
        <v>37</v>
      </c>
      <c r="B26" s="71"/>
      <c r="C26" s="39" t="s">
        <v>382</v>
      </c>
      <c r="D26" s="28" t="s">
        <v>36</v>
      </c>
      <c r="E26" s="28">
        <f>1+1+1</f>
        <v>3</v>
      </c>
      <c r="F26" s="31"/>
      <c r="G26" s="31">
        <f>1</f>
        <v>1</v>
      </c>
      <c r="H26" s="31">
        <f t="shared" si="0"/>
        <v>4</v>
      </c>
      <c r="I26" s="118">
        <v>0</v>
      </c>
      <c r="J26" s="29">
        <f t="shared" si="1"/>
        <v>0</v>
      </c>
      <c r="K26" s="118">
        <v>0</v>
      </c>
      <c r="L26" s="29">
        <f t="shared" si="2"/>
        <v>0</v>
      </c>
      <c r="M26" s="106">
        <f t="shared" si="3"/>
        <v>0</v>
      </c>
      <c r="N26" s="106">
        <f t="shared" si="4"/>
        <v>0</v>
      </c>
      <c r="O26" s="106">
        <f t="shared" si="5"/>
        <v>0</v>
      </c>
      <c r="P26" s="106">
        <f t="shared" si="6"/>
        <v>0</v>
      </c>
      <c r="Q26" s="106">
        <f t="shared" si="7"/>
        <v>0</v>
      </c>
      <c r="R26" s="106">
        <f t="shared" si="8"/>
        <v>0</v>
      </c>
      <c r="S26" s="135"/>
      <c r="T26" s="135"/>
      <c r="U26" s="135"/>
    </row>
    <row r="27" spans="1:21" s="2" customFormat="1" ht="191.25" x14ac:dyDescent="0.25">
      <c r="A27" s="13" t="s">
        <v>30</v>
      </c>
      <c r="B27" s="1"/>
      <c r="C27" s="39" t="s">
        <v>383</v>
      </c>
      <c r="D27" s="28" t="s">
        <v>42</v>
      </c>
      <c r="E27" s="28"/>
      <c r="F27" s="31">
        <f>1+2+2</f>
        <v>5</v>
      </c>
      <c r="G27" s="31">
        <f>2+2</f>
        <v>4</v>
      </c>
      <c r="H27" s="31">
        <f t="shared" ref="H27:H29" si="25">SUM(E27:G27)</f>
        <v>9</v>
      </c>
      <c r="I27" s="118">
        <v>0</v>
      </c>
      <c r="J27" s="29">
        <f t="shared" ref="J27:J29" si="26">H27*I27</f>
        <v>0</v>
      </c>
      <c r="K27" s="118">
        <v>0</v>
      </c>
      <c r="L27" s="29">
        <f t="shared" ref="L27:L29" si="27">K27*H27</f>
        <v>0</v>
      </c>
      <c r="M27" s="106">
        <f t="shared" si="3"/>
        <v>0</v>
      </c>
      <c r="N27" s="106">
        <f t="shared" si="4"/>
        <v>0</v>
      </c>
      <c r="O27" s="106">
        <f t="shared" si="5"/>
        <v>0</v>
      </c>
      <c r="P27" s="106">
        <f t="shared" si="6"/>
        <v>0</v>
      </c>
      <c r="Q27" s="106">
        <f t="shared" si="7"/>
        <v>0</v>
      </c>
      <c r="R27" s="106">
        <f t="shared" si="8"/>
        <v>0</v>
      </c>
      <c r="S27" s="135"/>
      <c r="T27" s="135"/>
      <c r="U27" s="135"/>
    </row>
    <row r="28" spans="1:21" s="2" customFormat="1" ht="157.5" customHeight="1" x14ac:dyDescent="0.25">
      <c r="A28" s="13" t="s">
        <v>40</v>
      </c>
      <c r="B28" s="66"/>
      <c r="C28" s="39" t="s">
        <v>314</v>
      </c>
      <c r="D28" s="31" t="s">
        <v>218</v>
      </c>
      <c r="E28" s="28"/>
      <c r="F28" s="31">
        <f>1</f>
        <v>1</v>
      </c>
      <c r="G28" s="31"/>
      <c r="H28" s="31">
        <f t="shared" si="25"/>
        <v>1</v>
      </c>
      <c r="I28" s="118">
        <v>0</v>
      </c>
      <c r="J28" s="29">
        <f t="shared" si="26"/>
        <v>0</v>
      </c>
      <c r="K28" s="118">
        <v>0</v>
      </c>
      <c r="L28" s="29">
        <f t="shared" si="27"/>
        <v>0</v>
      </c>
      <c r="M28" s="106">
        <f t="shared" si="3"/>
        <v>0</v>
      </c>
      <c r="N28" s="106">
        <f t="shared" si="4"/>
        <v>0</v>
      </c>
      <c r="O28" s="106">
        <f t="shared" si="5"/>
        <v>0</v>
      </c>
      <c r="P28" s="106">
        <f t="shared" si="6"/>
        <v>0</v>
      </c>
      <c r="Q28" s="106">
        <f t="shared" si="7"/>
        <v>0</v>
      </c>
      <c r="R28" s="106">
        <f t="shared" si="8"/>
        <v>0</v>
      </c>
      <c r="S28" s="135"/>
      <c r="T28" s="135"/>
      <c r="U28" s="135"/>
    </row>
    <row r="29" spans="1:21" s="2" customFormat="1" ht="178.5" x14ac:dyDescent="0.25">
      <c r="A29" s="13" t="s">
        <v>41</v>
      </c>
      <c r="B29" s="17"/>
      <c r="C29" s="65" t="s">
        <v>384</v>
      </c>
      <c r="D29" s="28" t="s">
        <v>17</v>
      </c>
      <c r="E29" s="28"/>
      <c r="F29" s="31">
        <f>17</f>
        <v>17</v>
      </c>
      <c r="G29" s="31"/>
      <c r="H29" s="31">
        <f t="shared" si="25"/>
        <v>17</v>
      </c>
      <c r="I29" s="118">
        <v>0</v>
      </c>
      <c r="J29" s="29">
        <f t="shared" si="26"/>
        <v>0</v>
      </c>
      <c r="K29" s="118">
        <v>0</v>
      </c>
      <c r="L29" s="29">
        <f t="shared" si="27"/>
        <v>0</v>
      </c>
      <c r="M29" s="106">
        <f t="shared" si="3"/>
        <v>0</v>
      </c>
      <c r="N29" s="106">
        <f t="shared" si="4"/>
        <v>0</v>
      </c>
      <c r="O29" s="106">
        <f t="shared" si="5"/>
        <v>0</v>
      </c>
      <c r="P29" s="106">
        <f t="shared" si="6"/>
        <v>0</v>
      </c>
      <c r="Q29" s="106">
        <f t="shared" si="7"/>
        <v>0</v>
      </c>
      <c r="R29" s="106">
        <f t="shared" si="8"/>
        <v>0</v>
      </c>
      <c r="S29" s="135"/>
      <c r="T29" s="135"/>
      <c r="U29" s="135"/>
    </row>
    <row r="30" spans="1:21" s="2" customFormat="1" ht="153" x14ac:dyDescent="0.25">
      <c r="A30" s="13" t="s">
        <v>43</v>
      </c>
      <c r="B30" s="17"/>
      <c r="C30" s="30" t="s">
        <v>227</v>
      </c>
      <c r="D30" s="28" t="s">
        <v>38</v>
      </c>
      <c r="E30" s="28">
        <v>2</v>
      </c>
      <c r="F30" s="31"/>
      <c r="G30" s="31"/>
      <c r="H30" s="31">
        <f t="shared" si="0"/>
        <v>2</v>
      </c>
      <c r="I30" s="118">
        <v>0</v>
      </c>
      <c r="J30" s="29">
        <f t="shared" si="1"/>
        <v>0</v>
      </c>
      <c r="K30" s="118">
        <v>0</v>
      </c>
      <c r="L30" s="29">
        <f t="shared" si="2"/>
        <v>0</v>
      </c>
      <c r="M30" s="106">
        <f t="shared" si="3"/>
        <v>0</v>
      </c>
      <c r="N30" s="106">
        <f t="shared" si="4"/>
        <v>0</v>
      </c>
      <c r="O30" s="106">
        <f t="shared" si="5"/>
        <v>0</v>
      </c>
      <c r="P30" s="106">
        <f t="shared" si="6"/>
        <v>0</v>
      </c>
      <c r="Q30" s="106">
        <f t="shared" si="7"/>
        <v>0</v>
      </c>
      <c r="R30" s="106">
        <f t="shared" si="8"/>
        <v>0</v>
      </c>
      <c r="S30" s="135"/>
      <c r="T30" s="135"/>
      <c r="U30" s="135"/>
    </row>
    <row r="31" spans="1:21" s="2" customFormat="1" ht="153" x14ac:dyDescent="0.25">
      <c r="A31" s="13" t="s">
        <v>111</v>
      </c>
      <c r="B31" s="17"/>
      <c r="C31" s="30" t="s">
        <v>226</v>
      </c>
      <c r="D31" s="28" t="s">
        <v>21</v>
      </c>
      <c r="E31" s="28"/>
      <c r="F31" s="31">
        <f>2</f>
        <v>2</v>
      </c>
      <c r="G31" s="31">
        <f>1</f>
        <v>1</v>
      </c>
      <c r="H31" s="31">
        <f t="shared" si="0"/>
        <v>3</v>
      </c>
      <c r="I31" s="118">
        <v>0</v>
      </c>
      <c r="J31" s="29">
        <f t="shared" si="1"/>
        <v>0</v>
      </c>
      <c r="K31" s="118">
        <v>0</v>
      </c>
      <c r="L31" s="29">
        <f t="shared" si="2"/>
        <v>0</v>
      </c>
      <c r="M31" s="106">
        <f t="shared" si="3"/>
        <v>0</v>
      </c>
      <c r="N31" s="106">
        <f t="shared" si="4"/>
        <v>0</v>
      </c>
      <c r="O31" s="106">
        <f t="shared" si="5"/>
        <v>0</v>
      </c>
      <c r="P31" s="106">
        <f t="shared" si="6"/>
        <v>0</v>
      </c>
      <c r="Q31" s="106">
        <f t="shared" si="7"/>
        <v>0</v>
      </c>
      <c r="R31" s="106">
        <f t="shared" si="8"/>
        <v>0</v>
      </c>
      <c r="S31" s="135"/>
      <c r="T31" s="135"/>
      <c r="U31" s="135"/>
    </row>
    <row r="32" spans="1:21" s="2" customFormat="1" ht="102" x14ac:dyDescent="0.25">
      <c r="A32" s="13" t="s">
        <v>228</v>
      </c>
      <c r="B32" s="17"/>
      <c r="C32" s="30" t="s">
        <v>129</v>
      </c>
      <c r="D32" s="31" t="s">
        <v>39</v>
      </c>
      <c r="E32" s="28"/>
      <c r="F32" s="31">
        <f>1</f>
        <v>1</v>
      </c>
      <c r="G32" s="31"/>
      <c r="H32" s="31">
        <f t="shared" si="0"/>
        <v>1</v>
      </c>
      <c r="I32" s="118">
        <v>0</v>
      </c>
      <c r="J32" s="29">
        <f t="shared" si="1"/>
        <v>0</v>
      </c>
      <c r="K32" s="118">
        <v>0</v>
      </c>
      <c r="L32" s="29">
        <f t="shared" si="2"/>
        <v>0</v>
      </c>
      <c r="M32" s="106">
        <f t="shared" si="3"/>
        <v>0</v>
      </c>
      <c r="N32" s="106">
        <f t="shared" si="4"/>
        <v>0</v>
      </c>
      <c r="O32" s="106">
        <f t="shared" si="5"/>
        <v>0</v>
      </c>
      <c r="P32" s="106">
        <f t="shared" si="6"/>
        <v>0</v>
      </c>
      <c r="Q32" s="106">
        <f t="shared" si="7"/>
        <v>0</v>
      </c>
      <c r="R32" s="106">
        <f t="shared" si="8"/>
        <v>0</v>
      </c>
      <c r="S32" s="135"/>
      <c r="T32" s="135"/>
      <c r="U32" s="135"/>
    </row>
    <row r="33" spans="1:21" s="2" customFormat="1" ht="140.25" x14ac:dyDescent="0.25">
      <c r="A33" s="13" t="s">
        <v>229</v>
      </c>
      <c r="B33" s="17"/>
      <c r="C33" s="65" t="s">
        <v>336</v>
      </c>
      <c r="D33" s="31" t="s">
        <v>98</v>
      </c>
      <c r="E33" s="28"/>
      <c r="F33" s="31">
        <f>7</f>
        <v>7</v>
      </c>
      <c r="G33" s="31"/>
      <c r="H33" s="31">
        <f t="shared" si="0"/>
        <v>7</v>
      </c>
      <c r="I33" s="118">
        <v>0</v>
      </c>
      <c r="J33" s="29">
        <f t="shared" si="1"/>
        <v>0</v>
      </c>
      <c r="K33" s="118">
        <v>0</v>
      </c>
      <c r="L33" s="29">
        <f t="shared" si="2"/>
        <v>0</v>
      </c>
      <c r="M33" s="106">
        <f t="shared" si="3"/>
        <v>0</v>
      </c>
      <c r="N33" s="106">
        <f t="shared" si="4"/>
        <v>0</v>
      </c>
      <c r="O33" s="106">
        <f t="shared" si="5"/>
        <v>0</v>
      </c>
      <c r="P33" s="106">
        <f t="shared" si="6"/>
        <v>0</v>
      </c>
      <c r="Q33" s="106">
        <f t="shared" si="7"/>
        <v>0</v>
      </c>
      <c r="R33" s="106">
        <f t="shared" si="8"/>
        <v>0</v>
      </c>
      <c r="S33" s="135"/>
      <c r="T33" s="135"/>
      <c r="U33" s="135"/>
    </row>
    <row r="34" spans="1:21" s="2" customFormat="1" ht="102" x14ac:dyDescent="0.25">
      <c r="A34" s="13" t="s">
        <v>230</v>
      </c>
      <c r="B34" s="17"/>
      <c r="C34" s="30" t="s">
        <v>129</v>
      </c>
      <c r="D34" s="31" t="s">
        <v>112</v>
      </c>
      <c r="E34" s="28"/>
      <c r="F34" s="31"/>
      <c r="G34" s="31">
        <f>1</f>
        <v>1</v>
      </c>
      <c r="H34" s="31">
        <f t="shared" si="0"/>
        <v>1</v>
      </c>
      <c r="I34" s="118">
        <v>0</v>
      </c>
      <c r="J34" s="29">
        <f t="shared" ref="J34" si="28">H34*I34</f>
        <v>0</v>
      </c>
      <c r="K34" s="118">
        <v>0</v>
      </c>
      <c r="L34" s="29">
        <f t="shared" ref="L34" si="29">K34*H34</f>
        <v>0</v>
      </c>
      <c r="M34" s="106">
        <f t="shared" si="3"/>
        <v>0</v>
      </c>
      <c r="N34" s="106">
        <f t="shared" si="4"/>
        <v>0</v>
      </c>
      <c r="O34" s="106">
        <f t="shared" si="5"/>
        <v>0</v>
      </c>
      <c r="P34" s="106">
        <f t="shared" si="6"/>
        <v>0</v>
      </c>
      <c r="Q34" s="106">
        <f t="shared" si="7"/>
        <v>0</v>
      </c>
      <c r="R34" s="106">
        <f t="shared" si="8"/>
        <v>0</v>
      </c>
      <c r="S34" s="135"/>
      <c r="T34" s="135"/>
      <c r="U34" s="135"/>
    </row>
    <row r="35" spans="1:21" s="2" customFormat="1" ht="102" x14ac:dyDescent="0.25">
      <c r="A35" s="13" t="s">
        <v>96</v>
      </c>
      <c r="B35" s="17"/>
      <c r="C35" s="30" t="s">
        <v>231</v>
      </c>
      <c r="D35" s="31" t="s">
        <v>95</v>
      </c>
      <c r="E35" s="28">
        <v>3</v>
      </c>
      <c r="F35" s="31"/>
      <c r="G35" s="31"/>
      <c r="H35" s="31">
        <f t="shared" si="0"/>
        <v>3</v>
      </c>
      <c r="I35" s="118">
        <v>0</v>
      </c>
      <c r="J35" s="29">
        <f t="shared" si="1"/>
        <v>0</v>
      </c>
      <c r="K35" s="118">
        <v>0</v>
      </c>
      <c r="L35" s="29">
        <f t="shared" si="2"/>
        <v>0</v>
      </c>
      <c r="M35" s="106">
        <f t="shared" si="3"/>
        <v>0</v>
      </c>
      <c r="N35" s="106">
        <f t="shared" si="4"/>
        <v>0</v>
      </c>
      <c r="O35" s="106">
        <f t="shared" si="5"/>
        <v>0</v>
      </c>
      <c r="P35" s="106">
        <f t="shared" si="6"/>
        <v>0</v>
      </c>
      <c r="Q35" s="106">
        <f t="shared" si="7"/>
        <v>0</v>
      </c>
      <c r="R35" s="106">
        <f t="shared" si="8"/>
        <v>0</v>
      </c>
      <c r="S35" s="135"/>
      <c r="T35" s="135"/>
      <c r="U35" s="135"/>
    </row>
    <row r="36" spans="1:21" s="2" customFormat="1" ht="178.5" x14ac:dyDescent="0.25">
      <c r="A36" s="13" t="s">
        <v>44</v>
      </c>
      <c r="B36" s="17"/>
      <c r="C36" s="3" t="s">
        <v>315</v>
      </c>
      <c r="D36" s="28" t="s">
        <v>1</v>
      </c>
      <c r="E36" s="28">
        <f>11+15+22</f>
        <v>48</v>
      </c>
      <c r="F36" s="31">
        <f>18+44+39+12</f>
        <v>113</v>
      </c>
      <c r="G36" s="31">
        <f>4+34+41+40</f>
        <v>119</v>
      </c>
      <c r="H36" s="31">
        <f t="shared" si="0"/>
        <v>280</v>
      </c>
      <c r="I36" s="118">
        <v>0</v>
      </c>
      <c r="J36" s="29">
        <f t="shared" si="1"/>
        <v>0</v>
      </c>
      <c r="K36" s="118">
        <v>0</v>
      </c>
      <c r="L36" s="29">
        <f t="shared" si="2"/>
        <v>0</v>
      </c>
      <c r="M36" s="106">
        <f t="shared" si="3"/>
        <v>0</v>
      </c>
      <c r="N36" s="106">
        <f t="shared" si="4"/>
        <v>0</v>
      </c>
      <c r="O36" s="106">
        <f t="shared" si="5"/>
        <v>0</v>
      </c>
      <c r="P36" s="106">
        <f t="shared" si="6"/>
        <v>0</v>
      </c>
      <c r="Q36" s="106">
        <f t="shared" si="7"/>
        <v>0</v>
      </c>
      <c r="R36" s="106">
        <f t="shared" si="8"/>
        <v>0</v>
      </c>
      <c r="S36" s="135"/>
      <c r="T36" s="135"/>
      <c r="U36" s="135"/>
    </row>
    <row r="37" spans="1:21" s="2" customFormat="1" ht="178.5" x14ac:dyDescent="0.25">
      <c r="A37" s="13" t="s">
        <v>45</v>
      </c>
      <c r="B37" s="17"/>
      <c r="C37" s="30" t="s">
        <v>316</v>
      </c>
      <c r="D37" s="28" t="s">
        <v>3</v>
      </c>
      <c r="E37" s="28">
        <f>2+1</f>
        <v>3</v>
      </c>
      <c r="F37" s="31">
        <f>3+2+2</f>
        <v>7</v>
      </c>
      <c r="G37" s="31">
        <f>3+2+2</f>
        <v>7</v>
      </c>
      <c r="H37" s="31">
        <f t="shared" si="0"/>
        <v>17</v>
      </c>
      <c r="I37" s="118">
        <v>0</v>
      </c>
      <c r="J37" s="29">
        <f t="shared" si="1"/>
        <v>0</v>
      </c>
      <c r="K37" s="118">
        <v>0</v>
      </c>
      <c r="L37" s="29">
        <f t="shared" si="2"/>
        <v>0</v>
      </c>
      <c r="M37" s="106">
        <f t="shared" si="3"/>
        <v>0</v>
      </c>
      <c r="N37" s="106">
        <f t="shared" si="4"/>
        <v>0</v>
      </c>
      <c r="O37" s="106">
        <f t="shared" si="5"/>
        <v>0</v>
      </c>
      <c r="P37" s="106">
        <f t="shared" si="6"/>
        <v>0</v>
      </c>
      <c r="Q37" s="106">
        <f t="shared" si="7"/>
        <v>0</v>
      </c>
      <c r="R37" s="106">
        <f t="shared" si="8"/>
        <v>0</v>
      </c>
      <c r="S37" s="135"/>
      <c r="T37" s="135"/>
      <c r="U37" s="135"/>
    </row>
    <row r="38" spans="1:21" s="2" customFormat="1" ht="191.25" x14ac:dyDescent="0.25">
      <c r="A38" s="13" t="s">
        <v>48</v>
      </c>
      <c r="B38" s="17"/>
      <c r="C38" s="30" t="s">
        <v>241</v>
      </c>
      <c r="D38" s="28" t="s">
        <v>4</v>
      </c>
      <c r="E38" s="28">
        <f>15+16+7</f>
        <v>38</v>
      </c>
      <c r="F38" s="31">
        <f>20+16+16</f>
        <v>52</v>
      </c>
      <c r="G38" s="31">
        <f>12+18+16</f>
        <v>46</v>
      </c>
      <c r="H38" s="31">
        <f t="shared" si="0"/>
        <v>136</v>
      </c>
      <c r="I38" s="118">
        <v>0</v>
      </c>
      <c r="J38" s="29">
        <f t="shared" si="1"/>
        <v>0</v>
      </c>
      <c r="K38" s="118">
        <v>0</v>
      </c>
      <c r="L38" s="29">
        <f t="shared" si="2"/>
        <v>0</v>
      </c>
      <c r="M38" s="106">
        <f t="shared" si="3"/>
        <v>0</v>
      </c>
      <c r="N38" s="106">
        <f t="shared" si="4"/>
        <v>0</v>
      </c>
      <c r="O38" s="106">
        <f t="shared" si="5"/>
        <v>0</v>
      </c>
      <c r="P38" s="106">
        <f t="shared" si="6"/>
        <v>0</v>
      </c>
      <c r="Q38" s="106">
        <f t="shared" si="7"/>
        <v>0</v>
      </c>
      <c r="R38" s="106">
        <f t="shared" si="8"/>
        <v>0</v>
      </c>
      <c r="S38" s="135"/>
      <c r="T38" s="135"/>
      <c r="U38" s="135"/>
    </row>
    <row r="39" spans="1:21" s="2" customFormat="1" ht="111.75" customHeight="1" x14ac:dyDescent="0.25">
      <c r="A39" s="53" t="s">
        <v>49</v>
      </c>
      <c r="B39" s="60"/>
      <c r="C39" s="65" t="s">
        <v>385</v>
      </c>
      <c r="D39" s="28" t="s">
        <v>245</v>
      </c>
      <c r="E39" s="28">
        <v>2</v>
      </c>
      <c r="F39" s="31">
        <f>6</f>
        <v>6</v>
      </c>
      <c r="G39" s="31">
        <f>2</f>
        <v>2</v>
      </c>
      <c r="H39" s="31">
        <f t="shared" si="0"/>
        <v>10</v>
      </c>
      <c r="I39" s="118">
        <v>0</v>
      </c>
      <c r="J39" s="29">
        <f t="shared" si="1"/>
        <v>0</v>
      </c>
      <c r="K39" s="118">
        <v>0</v>
      </c>
      <c r="L39" s="29">
        <f t="shared" si="2"/>
        <v>0</v>
      </c>
      <c r="M39" s="106">
        <f t="shared" si="3"/>
        <v>0</v>
      </c>
      <c r="N39" s="106">
        <f t="shared" si="4"/>
        <v>0</v>
      </c>
      <c r="O39" s="106">
        <f t="shared" si="5"/>
        <v>0</v>
      </c>
      <c r="P39" s="106">
        <f t="shared" si="6"/>
        <v>0</v>
      </c>
      <c r="Q39" s="106">
        <f t="shared" si="7"/>
        <v>0</v>
      </c>
      <c r="R39" s="106">
        <f t="shared" si="8"/>
        <v>0</v>
      </c>
      <c r="S39" s="135"/>
      <c r="T39" s="135"/>
      <c r="U39" s="135"/>
    </row>
    <row r="40" spans="1:21" s="2" customFormat="1" ht="114.75" x14ac:dyDescent="0.25">
      <c r="A40" s="13" t="s">
        <v>50</v>
      </c>
      <c r="B40" s="68"/>
      <c r="C40" s="65" t="s">
        <v>386</v>
      </c>
      <c r="D40" s="28" t="s">
        <v>99</v>
      </c>
      <c r="E40" s="28">
        <v>3</v>
      </c>
      <c r="F40" s="31"/>
      <c r="G40" s="31"/>
      <c r="H40" s="31">
        <f t="shared" si="0"/>
        <v>3</v>
      </c>
      <c r="I40" s="118">
        <v>0</v>
      </c>
      <c r="J40" s="29">
        <f t="shared" si="1"/>
        <v>0</v>
      </c>
      <c r="K40" s="118">
        <v>0</v>
      </c>
      <c r="L40" s="29">
        <f t="shared" si="2"/>
        <v>0</v>
      </c>
      <c r="M40" s="106">
        <f t="shared" si="3"/>
        <v>0</v>
      </c>
      <c r="N40" s="106">
        <f t="shared" si="4"/>
        <v>0</v>
      </c>
      <c r="O40" s="106">
        <f t="shared" si="5"/>
        <v>0</v>
      </c>
      <c r="P40" s="106">
        <f t="shared" si="6"/>
        <v>0</v>
      </c>
      <c r="Q40" s="106">
        <f t="shared" si="7"/>
        <v>0</v>
      </c>
      <c r="R40" s="106">
        <f t="shared" si="8"/>
        <v>0</v>
      </c>
      <c r="S40" s="135"/>
      <c r="T40" s="135"/>
      <c r="U40" s="135"/>
    </row>
    <row r="41" spans="1:21" s="2" customFormat="1" ht="267.75" x14ac:dyDescent="0.25">
      <c r="A41" s="13" t="s">
        <v>46</v>
      </c>
      <c r="B41" s="17"/>
      <c r="C41" s="39" t="s">
        <v>242</v>
      </c>
      <c r="D41" s="28" t="s">
        <v>0</v>
      </c>
      <c r="E41" s="28"/>
      <c r="F41" s="31">
        <f>12+14+38+35</f>
        <v>99</v>
      </c>
      <c r="G41" s="31">
        <f>28+40+36</f>
        <v>104</v>
      </c>
      <c r="H41" s="31">
        <f t="shared" si="0"/>
        <v>203</v>
      </c>
      <c r="I41" s="118">
        <v>0</v>
      </c>
      <c r="J41" s="29">
        <f t="shared" si="1"/>
        <v>0</v>
      </c>
      <c r="K41" s="118">
        <v>0</v>
      </c>
      <c r="L41" s="29">
        <f t="shared" si="2"/>
        <v>0</v>
      </c>
      <c r="M41" s="106">
        <f t="shared" si="3"/>
        <v>0</v>
      </c>
      <c r="N41" s="106">
        <f t="shared" si="4"/>
        <v>0</v>
      </c>
      <c r="O41" s="106">
        <f t="shared" si="5"/>
        <v>0</v>
      </c>
      <c r="P41" s="106">
        <f t="shared" si="6"/>
        <v>0</v>
      </c>
      <c r="Q41" s="106">
        <f t="shared" si="7"/>
        <v>0</v>
      </c>
      <c r="R41" s="106">
        <f t="shared" si="8"/>
        <v>0</v>
      </c>
      <c r="S41" s="135"/>
      <c r="T41" s="135"/>
      <c r="U41" s="135"/>
    </row>
    <row r="42" spans="1:21" s="2" customFormat="1" ht="280.5" x14ac:dyDescent="0.25">
      <c r="A42" s="13" t="s">
        <v>51</v>
      </c>
      <c r="B42" s="17"/>
      <c r="C42" s="65" t="s">
        <v>232</v>
      </c>
      <c r="D42" s="28" t="s">
        <v>6</v>
      </c>
      <c r="E42" s="28"/>
      <c r="F42" s="31">
        <f>72</f>
        <v>72</v>
      </c>
      <c r="G42" s="31"/>
      <c r="H42" s="31">
        <f t="shared" si="0"/>
        <v>72</v>
      </c>
      <c r="I42" s="118">
        <v>0</v>
      </c>
      <c r="J42" s="29">
        <f t="shared" si="1"/>
        <v>0</v>
      </c>
      <c r="K42" s="118">
        <v>0</v>
      </c>
      <c r="L42" s="29">
        <f t="shared" si="2"/>
        <v>0</v>
      </c>
      <c r="M42" s="106">
        <f t="shared" si="3"/>
        <v>0</v>
      </c>
      <c r="N42" s="106">
        <f t="shared" si="4"/>
        <v>0</v>
      </c>
      <c r="O42" s="106">
        <f t="shared" si="5"/>
        <v>0</v>
      </c>
      <c r="P42" s="106">
        <f t="shared" si="6"/>
        <v>0</v>
      </c>
      <c r="Q42" s="106">
        <f t="shared" si="7"/>
        <v>0</v>
      </c>
      <c r="R42" s="106">
        <f t="shared" si="8"/>
        <v>0</v>
      </c>
      <c r="S42" s="135"/>
      <c r="T42" s="135"/>
      <c r="U42" s="135"/>
    </row>
    <row r="43" spans="1:21" s="2" customFormat="1" ht="165.75" x14ac:dyDescent="0.25">
      <c r="A43" s="13" t="s">
        <v>52</v>
      </c>
      <c r="B43" s="17"/>
      <c r="C43" s="3" t="s">
        <v>317</v>
      </c>
      <c r="D43" s="28" t="s">
        <v>1</v>
      </c>
      <c r="E43" s="28"/>
      <c r="F43" s="31">
        <f>1+2</f>
        <v>3</v>
      </c>
      <c r="G43" s="31">
        <f>1+2+2</f>
        <v>5</v>
      </c>
      <c r="H43" s="31">
        <f t="shared" si="0"/>
        <v>8</v>
      </c>
      <c r="I43" s="118">
        <v>0</v>
      </c>
      <c r="J43" s="29">
        <f t="shared" si="1"/>
        <v>0</v>
      </c>
      <c r="K43" s="118">
        <v>0</v>
      </c>
      <c r="L43" s="29">
        <f t="shared" si="2"/>
        <v>0</v>
      </c>
      <c r="M43" s="106">
        <f t="shared" si="3"/>
        <v>0</v>
      </c>
      <c r="N43" s="106">
        <f t="shared" si="4"/>
        <v>0</v>
      </c>
      <c r="O43" s="106">
        <f t="shared" si="5"/>
        <v>0</v>
      </c>
      <c r="P43" s="106">
        <f t="shared" si="6"/>
        <v>0</v>
      </c>
      <c r="Q43" s="106">
        <f t="shared" si="7"/>
        <v>0</v>
      </c>
      <c r="R43" s="106">
        <f t="shared" si="8"/>
        <v>0</v>
      </c>
      <c r="S43" s="135"/>
      <c r="T43" s="135"/>
      <c r="U43" s="135"/>
    </row>
    <row r="44" spans="1:21" s="2" customFormat="1" ht="242.25" x14ac:dyDescent="0.25">
      <c r="A44" s="13" t="s">
        <v>53</v>
      </c>
      <c r="B44" s="17"/>
      <c r="C44" s="3" t="s">
        <v>387</v>
      </c>
      <c r="D44" s="28" t="s">
        <v>0</v>
      </c>
      <c r="E44" s="28"/>
      <c r="F44" s="31">
        <f>40+64</f>
        <v>104</v>
      </c>
      <c r="G44" s="31">
        <f>25+50+48</f>
        <v>123</v>
      </c>
      <c r="H44" s="31">
        <f t="shared" si="0"/>
        <v>227</v>
      </c>
      <c r="I44" s="118">
        <v>0</v>
      </c>
      <c r="J44" s="29">
        <f t="shared" si="1"/>
        <v>0</v>
      </c>
      <c r="K44" s="118">
        <v>0</v>
      </c>
      <c r="L44" s="29">
        <f t="shared" si="2"/>
        <v>0</v>
      </c>
      <c r="M44" s="106">
        <f t="shared" si="3"/>
        <v>0</v>
      </c>
      <c r="N44" s="106">
        <f t="shared" si="4"/>
        <v>0</v>
      </c>
      <c r="O44" s="106">
        <f t="shared" si="5"/>
        <v>0</v>
      </c>
      <c r="P44" s="106">
        <f t="shared" si="6"/>
        <v>0</v>
      </c>
      <c r="Q44" s="106">
        <f t="shared" si="7"/>
        <v>0</v>
      </c>
      <c r="R44" s="106">
        <f t="shared" si="8"/>
        <v>0</v>
      </c>
      <c r="S44" s="135"/>
      <c r="T44" s="135"/>
      <c r="U44" s="135"/>
    </row>
    <row r="45" spans="1:21" s="2" customFormat="1" ht="186" customHeight="1" x14ac:dyDescent="0.25">
      <c r="A45" s="13" t="s">
        <v>207</v>
      </c>
      <c r="B45" s="59" t="s">
        <v>208</v>
      </c>
      <c r="C45" s="65" t="s">
        <v>223</v>
      </c>
      <c r="D45" s="28" t="s">
        <v>209</v>
      </c>
      <c r="E45" s="28"/>
      <c r="F45" s="31">
        <f>8</f>
        <v>8</v>
      </c>
      <c r="G45" s="31"/>
      <c r="H45" s="31">
        <f t="shared" ref="H45" si="30">SUM(E45:G45)</f>
        <v>8</v>
      </c>
      <c r="I45" s="118">
        <v>0</v>
      </c>
      <c r="J45" s="29">
        <f t="shared" ref="J45:J47" si="31">H45*I45</f>
        <v>0</v>
      </c>
      <c r="K45" s="118">
        <v>0</v>
      </c>
      <c r="L45" s="29">
        <f t="shared" ref="L45:L47" si="32">K45*H45</f>
        <v>0</v>
      </c>
      <c r="M45" s="106">
        <f t="shared" si="3"/>
        <v>0</v>
      </c>
      <c r="N45" s="106">
        <f t="shared" si="4"/>
        <v>0</v>
      </c>
      <c r="O45" s="106">
        <f t="shared" si="5"/>
        <v>0</v>
      </c>
      <c r="P45" s="106">
        <f t="shared" si="6"/>
        <v>0</v>
      </c>
      <c r="Q45" s="106">
        <f t="shared" si="7"/>
        <v>0</v>
      </c>
      <c r="R45" s="106">
        <f t="shared" si="8"/>
        <v>0</v>
      </c>
      <c r="S45" s="135"/>
      <c r="T45" s="135"/>
      <c r="U45" s="135"/>
    </row>
    <row r="46" spans="1:21" s="2" customFormat="1" ht="156" customHeight="1" x14ac:dyDescent="0.25">
      <c r="A46" s="53" t="s">
        <v>214</v>
      </c>
      <c r="B46" s="60"/>
      <c r="C46" s="65" t="s">
        <v>388</v>
      </c>
      <c r="D46" s="72" t="s">
        <v>213</v>
      </c>
      <c r="E46" s="28"/>
      <c r="F46" s="31">
        <f>2</f>
        <v>2</v>
      </c>
      <c r="G46" s="31"/>
      <c r="H46" s="31">
        <f t="shared" ref="H46:H47" si="33">SUM(E46:G46)</f>
        <v>2</v>
      </c>
      <c r="I46" s="118">
        <v>0</v>
      </c>
      <c r="J46" s="29">
        <f t="shared" si="31"/>
        <v>0</v>
      </c>
      <c r="K46" s="118">
        <v>0</v>
      </c>
      <c r="L46" s="29">
        <f t="shared" si="32"/>
        <v>0</v>
      </c>
      <c r="M46" s="106">
        <f t="shared" si="3"/>
        <v>0</v>
      </c>
      <c r="N46" s="106">
        <f t="shared" si="4"/>
        <v>0</v>
      </c>
      <c r="O46" s="106">
        <f t="shared" si="5"/>
        <v>0</v>
      </c>
      <c r="P46" s="106">
        <f t="shared" si="6"/>
        <v>0</v>
      </c>
      <c r="Q46" s="106">
        <f t="shared" si="7"/>
        <v>0</v>
      </c>
      <c r="R46" s="106">
        <f t="shared" si="8"/>
        <v>0</v>
      </c>
      <c r="S46" s="135"/>
      <c r="T46" s="135"/>
      <c r="U46" s="135"/>
    </row>
    <row r="47" spans="1:21" s="2" customFormat="1" ht="127.5" x14ac:dyDescent="0.25">
      <c r="A47" s="53" t="s">
        <v>301</v>
      </c>
      <c r="B47" s="60"/>
      <c r="C47" s="65" t="s">
        <v>312</v>
      </c>
      <c r="D47" s="72" t="s">
        <v>302</v>
      </c>
      <c r="E47" s="28">
        <v>4</v>
      </c>
      <c r="F47" s="31">
        <v>12</v>
      </c>
      <c r="G47" s="31">
        <v>2</v>
      </c>
      <c r="H47" s="31">
        <f t="shared" si="33"/>
        <v>18</v>
      </c>
      <c r="I47" s="118">
        <v>0</v>
      </c>
      <c r="J47" s="75">
        <f t="shared" si="31"/>
        <v>0</v>
      </c>
      <c r="K47" s="118">
        <v>0</v>
      </c>
      <c r="L47" s="75">
        <f t="shared" si="32"/>
        <v>0</v>
      </c>
      <c r="M47" s="106">
        <f t="shared" si="3"/>
        <v>0</v>
      </c>
      <c r="N47" s="106">
        <f t="shared" si="4"/>
        <v>0</v>
      </c>
      <c r="O47" s="106">
        <f t="shared" si="5"/>
        <v>0</v>
      </c>
      <c r="P47" s="106">
        <f t="shared" si="6"/>
        <v>0</v>
      </c>
      <c r="Q47" s="106">
        <f t="shared" si="7"/>
        <v>0</v>
      </c>
      <c r="R47" s="106">
        <f t="shared" si="8"/>
        <v>0</v>
      </c>
      <c r="S47" s="135"/>
      <c r="T47" s="135"/>
      <c r="U47" s="135"/>
    </row>
    <row r="48" spans="1:21" s="2" customFormat="1" ht="111.75" customHeight="1" x14ac:dyDescent="0.25">
      <c r="A48" s="13" t="s">
        <v>47</v>
      </c>
      <c r="B48" s="17"/>
      <c r="C48" s="30" t="s">
        <v>333</v>
      </c>
      <c r="D48" s="28" t="s">
        <v>131</v>
      </c>
      <c r="E48" s="28">
        <f>13+16+22</f>
        <v>51</v>
      </c>
      <c r="F48" s="31">
        <f>20+44+36+5</f>
        <v>105</v>
      </c>
      <c r="G48" s="31">
        <f>37+42+32</f>
        <v>111</v>
      </c>
      <c r="H48" s="31">
        <f t="shared" si="0"/>
        <v>267</v>
      </c>
      <c r="I48" s="118">
        <v>0</v>
      </c>
      <c r="J48" s="29">
        <f t="shared" si="1"/>
        <v>0</v>
      </c>
      <c r="K48" s="118">
        <v>0</v>
      </c>
      <c r="L48" s="29">
        <f t="shared" si="2"/>
        <v>0</v>
      </c>
      <c r="M48" s="106">
        <f t="shared" si="3"/>
        <v>0</v>
      </c>
      <c r="N48" s="106">
        <f t="shared" si="4"/>
        <v>0</v>
      </c>
      <c r="O48" s="106">
        <f t="shared" si="5"/>
        <v>0</v>
      </c>
      <c r="P48" s="106">
        <f t="shared" si="6"/>
        <v>0</v>
      </c>
      <c r="Q48" s="106">
        <f t="shared" si="7"/>
        <v>0</v>
      </c>
      <c r="R48" s="106">
        <f t="shared" si="8"/>
        <v>0</v>
      </c>
      <c r="S48" s="135"/>
      <c r="T48" s="135"/>
      <c r="U48" s="135"/>
    </row>
    <row r="49" spans="1:21" s="2" customFormat="1" ht="111.75" customHeight="1" x14ac:dyDescent="0.25">
      <c r="A49" s="13" t="s">
        <v>64</v>
      </c>
      <c r="B49" s="17"/>
      <c r="C49" s="65" t="s">
        <v>334</v>
      </c>
      <c r="D49" s="28" t="s">
        <v>131</v>
      </c>
      <c r="E49" s="28"/>
      <c r="F49" s="31">
        <f>1</f>
        <v>1</v>
      </c>
      <c r="G49" s="31"/>
      <c r="H49" s="31">
        <f t="shared" ref="H49" si="34">SUM(E49:G49)</f>
        <v>1</v>
      </c>
      <c r="I49" s="118">
        <v>0</v>
      </c>
      <c r="J49" s="29">
        <f t="shared" ref="J49" si="35">H49*I49</f>
        <v>0</v>
      </c>
      <c r="K49" s="118">
        <v>0</v>
      </c>
      <c r="L49" s="29">
        <f t="shared" ref="L49" si="36">K49*H49</f>
        <v>0</v>
      </c>
      <c r="M49" s="106">
        <f t="shared" si="3"/>
        <v>0</v>
      </c>
      <c r="N49" s="106">
        <f t="shared" si="4"/>
        <v>0</v>
      </c>
      <c r="O49" s="106">
        <f t="shared" si="5"/>
        <v>0</v>
      </c>
      <c r="P49" s="106">
        <f t="shared" si="6"/>
        <v>0</v>
      </c>
      <c r="Q49" s="106">
        <f t="shared" si="7"/>
        <v>0</v>
      </c>
      <c r="R49" s="106">
        <f t="shared" si="8"/>
        <v>0</v>
      </c>
      <c r="S49" s="135"/>
      <c r="T49" s="135"/>
      <c r="U49" s="135"/>
    </row>
    <row r="50" spans="1:21" s="2" customFormat="1" ht="191.25" x14ac:dyDescent="0.25">
      <c r="A50" s="13" t="s">
        <v>65</v>
      </c>
      <c r="B50" s="17"/>
      <c r="C50" s="65" t="s">
        <v>132</v>
      </c>
      <c r="D50" s="28" t="s">
        <v>130</v>
      </c>
      <c r="E50" s="28">
        <f>2+2</f>
        <v>4</v>
      </c>
      <c r="F50" s="31">
        <f>6+17+14</f>
        <v>37</v>
      </c>
      <c r="G50" s="31">
        <f>2+16+15</f>
        <v>33</v>
      </c>
      <c r="H50" s="31">
        <f t="shared" si="0"/>
        <v>74</v>
      </c>
      <c r="I50" s="118">
        <v>0</v>
      </c>
      <c r="J50" s="29">
        <f t="shared" si="1"/>
        <v>0</v>
      </c>
      <c r="K50" s="118">
        <v>0</v>
      </c>
      <c r="L50" s="29">
        <f t="shared" si="2"/>
        <v>0</v>
      </c>
      <c r="M50" s="106">
        <f t="shared" si="3"/>
        <v>0</v>
      </c>
      <c r="N50" s="106">
        <f t="shared" si="4"/>
        <v>0</v>
      </c>
      <c r="O50" s="106">
        <f t="shared" si="5"/>
        <v>0</v>
      </c>
      <c r="P50" s="106">
        <f t="shared" si="6"/>
        <v>0</v>
      </c>
      <c r="Q50" s="106">
        <f t="shared" si="7"/>
        <v>0</v>
      </c>
      <c r="R50" s="106">
        <f t="shared" si="8"/>
        <v>0</v>
      </c>
      <c r="S50" s="135"/>
      <c r="T50" s="135"/>
      <c r="U50" s="135"/>
    </row>
    <row r="51" spans="1:21" s="27" customFormat="1" ht="178.5" x14ac:dyDescent="0.25">
      <c r="A51" s="13" t="s">
        <v>66</v>
      </c>
      <c r="B51" s="17"/>
      <c r="C51" s="65" t="s">
        <v>335</v>
      </c>
      <c r="D51" s="28" t="s">
        <v>130</v>
      </c>
      <c r="E51" s="28"/>
      <c r="F51" s="31">
        <f>1</f>
        <v>1</v>
      </c>
      <c r="G51" s="31"/>
      <c r="H51" s="31">
        <f t="shared" si="0"/>
        <v>1</v>
      </c>
      <c r="I51" s="118">
        <v>0</v>
      </c>
      <c r="J51" s="29">
        <f t="shared" ref="J51:J53" si="37">H51*I51</f>
        <v>0</v>
      </c>
      <c r="K51" s="118">
        <v>0</v>
      </c>
      <c r="L51" s="29">
        <f t="shared" ref="L51:L53" si="38">K51*H51</f>
        <v>0</v>
      </c>
      <c r="M51" s="106">
        <f t="shared" si="3"/>
        <v>0</v>
      </c>
      <c r="N51" s="106">
        <f t="shared" si="4"/>
        <v>0</v>
      </c>
      <c r="O51" s="106">
        <f t="shared" si="5"/>
        <v>0</v>
      </c>
      <c r="P51" s="106">
        <f t="shared" si="6"/>
        <v>0</v>
      </c>
      <c r="Q51" s="106">
        <f t="shared" si="7"/>
        <v>0</v>
      </c>
      <c r="R51" s="106">
        <f t="shared" si="8"/>
        <v>0</v>
      </c>
      <c r="S51" s="135"/>
      <c r="T51" s="135"/>
      <c r="U51" s="135"/>
    </row>
    <row r="52" spans="1:21" s="2" customFormat="1" ht="204" x14ac:dyDescent="0.25">
      <c r="A52" s="13" t="s">
        <v>67</v>
      </c>
      <c r="B52" s="17"/>
      <c r="C52" s="39" t="s">
        <v>345</v>
      </c>
      <c r="D52" s="28" t="s">
        <v>130</v>
      </c>
      <c r="E52" s="28">
        <v>2</v>
      </c>
      <c r="F52" s="31"/>
      <c r="G52" s="31"/>
      <c r="H52" s="31">
        <f>SUM(E52:G52)</f>
        <v>2</v>
      </c>
      <c r="I52" s="118">
        <v>0</v>
      </c>
      <c r="J52" s="29">
        <f>H52*I52</f>
        <v>0</v>
      </c>
      <c r="K52" s="118">
        <v>0</v>
      </c>
      <c r="L52" s="29">
        <f>K52*H52</f>
        <v>0</v>
      </c>
      <c r="M52" s="106">
        <f t="shared" si="3"/>
        <v>0</v>
      </c>
      <c r="N52" s="106">
        <f t="shared" si="4"/>
        <v>0</v>
      </c>
      <c r="O52" s="106">
        <f t="shared" si="5"/>
        <v>0</v>
      </c>
      <c r="P52" s="106">
        <f t="shared" si="6"/>
        <v>0</v>
      </c>
      <c r="Q52" s="106">
        <f t="shared" si="7"/>
        <v>0</v>
      </c>
      <c r="R52" s="106">
        <f t="shared" si="8"/>
        <v>0</v>
      </c>
      <c r="S52" s="135"/>
      <c r="T52" s="135"/>
      <c r="U52" s="135"/>
    </row>
    <row r="53" spans="1:21" s="2" customFormat="1" ht="191.25" x14ac:dyDescent="0.25">
      <c r="A53" s="13" t="s">
        <v>68</v>
      </c>
      <c r="B53" s="17"/>
      <c r="C53" s="39" t="s">
        <v>344</v>
      </c>
      <c r="D53" s="28" t="s">
        <v>130</v>
      </c>
      <c r="E53" s="28"/>
      <c r="F53" s="31">
        <f>1</f>
        <v>1</v>
      </c>
      <c r="G53" s="31"/>
      <c r="H53" s="31">
        <f t="shared" si="0"/>
        <v>1</v>
      </c>
      <c r="I53" s="118">
        <v>0</v>
      </c>
      <c r="J53" s="29">
        <f t="shared" si="37"/>
        <v>0</v>
      </c>
      <c r="K53" s="118">
        <v>0</v>
      </c>
      <c r="L53" s="29">
        <f t="shared" si="38"/>
        <v>0</v>
      </c>
      <c r="M53" s="106">
        <f t="shared" si="3"/>
        <v>0</v>
      </c>
      <c r="N53" s="106">
        <f t="shared" si="4"/>
        <v>0</v>
      </c>
      <c r="O53" s="106">
        <f t="shared" si="5"/>
        <v>0</v>
      </c>
      <c r="P53" s="106">
        <f t="shared" si="6"/>
        <v>0</v>
      </c>
      <c r="Q53" s="106">
        <f t="shared" si="7"/>
        <v>0</v>
      </c>
      <c r="R53" s="106">
        <f t="shared" si="8"/>
        <v>0</v>
      </c>
      <c r="S53" s="135"/>
      <c r="T53" s="135"/>
      <c r="U53" s="135"/>
    </row>
    <row r="54" spans="1:21" s="2" customFormat="1" ht="204" x14ac:dyDescent="0.25">
      <c r="A54" s="13" t="s">
        <v>69</v>
      </c>
      <c r="B54" s="17"/>
      <c r="C54" s="30" t="s">
        <v>343</v>
      </c>
      <c r="D54" s="28" t="s">
        <v>130</v>
      </c>
      <c r="E54" s="28">
        <f>6+2</f>
        <v>8</v>
      </c>
      <c r="F54" s="31">
        <f>10+10+9</f>
        <v>29</v>
      </c>
      <c r="G54" s="31">
        <f>2+8</f>
        <v>10</v>
      </c>
      <c r="H54" s="31">
        <f t="shared" si="0"/>
        <v>47</v>
      </c>
      <c r="I54" s="118">
        <v>0</v>
      </c>
      <c r="J54" s="29">
        <f t="shared" si="1"/>
        <v>0</v>
      </c>
      <c r="K54" s="118">
        <v>0</v>
      </c>
      <c r="L54" s="29">
        <f t="shared" si="2"/>
        <v>0</v>
      </c>
      <c r="M54" s="106">
        <f t="shared" si="3"/>
        <v>0</v>
      </c>
      <c r="N54" s="106">
        <f t="shared" si="4"/>
        <v>0</v>
      </c>
      <c r="O54" s="106">
        <f t="shared" si="5"/>
        <v>0</v>
      </c>
      <c r="P54" s="106">
        <f t="shared" si="6"/>
        <v>0</v>
      </c>
      <c r="Q54" s="106">
        <f t="shared" si="7"/>
        <v>0</v>
      </c>
      <c r="R54" s="106">
        <f t="shared" si="8"/>
        <v>0</v>
      </c>
      <c r="S54" s="135"/>
      <c r="T54" s="135"/>
      <c r="U54" s="135"/>
    </row>
    <row r="55" spans="1:21" s="27" customFormat="1" ht="191.25" x14ac:dyDescent="0.25">
      <c r="A55" s="13" t="s">
        <v>54</v>
      </c>
      <c r="B55" s="17"/>
      <c r="C55" s="65" t="s">
        <v>342</v>
      </c>
      <c r="D55" s="28" t="s">
        <v>130</v>
      </c>
      <c r="E55" s="61"/>
      <c r="F55" s="31">
        <f>1</f>
        <v>1</v>
      </c>
      <c r="G55" s="31"/>
      <c r="H55" s="31">
        <f t="shared" si="0"/>
        <v>1</v>
      </c>
      <c r="I55" s="118">
        <v>0</v>
      </c>
      <c r="J55" s="29">
        <f t="shared" ref="J55:J56" si="39">H55*I55</f>
        <v>0</v>
      </c>
      <c r="K55" s="118">
        <v>0</v>
      </c>
      <c r="L55" s="29">
        <f t="shared" ref="L55:L56" si="40">K55*H55</f>
        <v>0</v>
      </c>
      <c r="M55" s="106">
        <f t="shared" si="3"/>
        <v>0</v>
      </c>
      <c r="N55" s="106">
        <f t="shared" si="4"/>
        <v>0</v>
      </c>
      <c r="O55" s="106">
        <f t="shared" si="5"/>
        <v>0</v>
      </c>
      <c r="P55" s="106">
        <f t="shared" si="6"/>
        <v>0</v>
      </c>
      <c r="Q55" s="106">
        <f t="shared" si="7"/>
        <v>0</v>
      </c>
      <c r="R55" s="106">
        <f t="shared" si="8"/>
        <v>0</v>
      </c>
      <c r="S55" s="135"/>
      <c r="T55" s="135"/>
      <c r="U55" s="135"/>
    </row>
    <row r="56" spans="1:21" s="2" customFormat="1" ht="216.75" x14ac:dyDescent="0.2">
      <c r="A56" s="13" t="s">
        <v>55</v>
      </c>
      <c r="B56" s="58" t="s">
        <v>205</v>
      </c>
      <c r="C56" s="39" t="s">
        <v>341</v>
      </c>
      <c r="D56" s="28" t="s">
        <v>130</v>
      </c>
      <c r="E56" s="28"/>
      <c r="F56" s="31">
        <f>2</f>
        <v>2</v>
      </c>
      <c r="G56" s="31"/>
      <c r="H56" s="31">
        <f t="shared" ref="H56" si="41">SUM(E56:G56)</f>
        <v>2</v>
      </c>
      <c r="I56" s="118">
        <v>0</v>
      </c>
      <c r="J56" s="29">
        <f t="shared" si="39"/>
        <v>0</v>
      </c>
      <c r="K56" s="118">
        <v>0</v>
      </c>
      <c r="L56" s="29">
        <f t="shared" si="40"/>
        <v>0</v>
      </c>
      <c r="M56" s="106">
        <f t="shared" si="3"/>
        <v>0</v>
      </c>
      <c r="N56" s="106">
        <f t="shared" si="4"/>
        <v>0</v>
      </c>
      <c r="O56" s="106">
        <f t="shared" si="5"/>
        <v>0</v>
      </c>
      <c r="P56" s="106">
        <f t="shared" si="6"/>
        <v>0</v>
      </c>
      <c r="Q56" s="106">
        <f t="shared" si="7"/>
        <v>0</v>
      </c>
      <c r="R56" s="106">
        <f t="shared" si="8"/>
        <v>0</v>
      </c>
      <c r="S56" s="135"/>
      <c r="T56" s="135"/>
      <c r="U56" s="135"/>
    </row>
    <row r="57" spans="1:21" s="2" customFormat="1" ht="204.75" customHeight="1" x14ac:dyDescent="0.25">
      <c r="A57" s="13" t="s">
        <v>56</v>
      </c>
      <c r="B57" s="17"/>
      <c r="C57" s="30" t="s">
        <v>340</v>
      </c>
      <c r="D57" s="28" t="s">
        <v>133</v>
      </c>
      <c r="E57" s="28"/>
      <c r="F57" s="31">
        <f>2+3+3</f>
        <v>8</v>
      </c>
      <c r="G57" s="31">
        <f>2+2+10</f>
        <v>14</v>
      </c>
      <c r="H57" s="31">
        <f t="shared" si="0"/>
        <v>22</v>
      </c>
      <c r="I57" s="118">
        <v>0</v>
      </c>
      <c r="J57" s="29">
        <f t="shared" si="1"/>
        <v>0</v>
      </c>
      <c r="K57" s="118">
        <v>0</v>
      </c>
      <c r="L57" s="29">
        <f t="shared" si="2"/>
        <v>0</v>
      </c>
      <c r="M57" s="106">
        <f t="shared" si="3"/>
        <v>0</v>
      </c>
      <c r="N57" s="106">
        <f t="shared" si="4"/>
        <v>0</v>
      </c>
      <c r="O57" s="106">
        <f t="shared" si="5"/>
        <v>0</v>
      </c>
      <c r="P57" s="106">
        <f t="shared" si="6"/>
        <v>0</v>
      </c>
      <c r="Q57" s="106">
        <f t="shared" si="7"/>
        <v>0</v>
      </c>
      <c r="R57" s="106">
        <f t="shared" si="8"/>
        <v>0</v>
      </c>
      <c r="S57" s="135"/>
      <c r="T57" s="135"/>
      <c r="U57" s="135"/>
    </row>
    <row r="58" spans="1:21" s="2" customFormat="1" ht="191.25" x14ac:dyDescent="0.25">
      <c r="A58" s="13" t="s">
        <v>57</v>
      </c>
      <c r="B58" s="17"/>
      <c r="C58" s="30" t="s">
        <v>339</v>
      </c>
      <c r="D58" s="28" t="s">
        <v>133</v>
      </c>
      <c r="E58" s="28"/>
      <c r="F58" s="31">
        <f>4+2+2</f>
        <v>8</v>
      </c>
      <c r="G58" s="31">
        <f>1+2+2</f>
        <v>5</v>
      </c>
      <c r="H58" s="31">
        <f t="shared" si="0"/>
        <v>13</v>
      </c>
      <c r="I58" s="118">
        <v>0</v>
      </c>
      <c r="J58" s="29">
        <f t="shared" si="1"/>
        <v>0</v>
      </c>
      <c r="K58" s="118">
        <v>0</v>
      </c>
      <c r="L58" s="29">
        <f t="shared" si="2"/>
        <v>0</v>
      </c>
      <c r="M58" s="106">
        <f t="shared" si="3"/>
        <v>0</v>
      </c>
      <c r="N58" s="106">
        <f t="shared" si="4"/>
        <v>0</v>
      </c>
      <c r="O58" s="106">
        <f t="shared" si="5"/>
        <v>0</v>
      </c>
      <c r="P58" s="106">
        <f t="shared" si="6"/>
        <v>0</v>
      </c>
      <c r="Q58" s="106">
        <f t="shared" si="7"/>
        <v>0</v>
      </c>
      <c r="R58" s="106">
        <f t="shared" si="8"/>
        <v>0</v>
      </c>
      <c r="S58" s="135"/>
      <c r="T58" s="135"/>
      <c r="U58" s="135"/>
    </row>
    <row r="59" spans="1:21" s="2" customFormat="1" ht="191.25" x14ac:dyDescent="0.25">
      <c r="A59" s="13" t="s">
        <v>243</v>
      </c>
      <c r="B59" s="17"/>
      <c r="C59" s="65" t="s">
        <v>132</v>
      </c>
      <c r="D59" s="28" t="s">
        <v>133</v>
      </c>
      <c r="E59" s="28"/>
      <c r="F59" s="31">
        <f>1</f>
        <v>1</v>
      </c>
      <c r="G59" s="31"/>
      <c r="H59" s="31">
        <f t="shared" ref="H59" si="42">SUM(E59:G59)</f>
        <v>1</v>
      </c>
      <c r="I59" s="118">
        <v>0</v>
      </c>
      <c r="J59" s="29">
        <f t="shared" ref="J59" si="43">H59*I59</f>
        <v>0</v>
      </c>
      <c r="K59" s="118">
        <v>0</v>
      </c>
      <c r="L59" s="29">
        <f t="shared" ref="L59" si="44">K59*H59</f>
        <v>0</v>
      </c>
      <c r="M59" s="106">
        <f t="shared" si="3"/>
        <v>0</v>
      </c>
      <c r="N59" s="106">
        <f t="shared" si="4"/>
        <v>0</v>
      </c>
      <c r="O59" s="106">
        <f t="shared" si="5"/>
        <v>0</v>
      </c>
      <c r="P59" s="106">
        <f t="shared" si="6"/>
        <v>0</v>
      </c>
      <c r="Q59" s="106">
        <f t="shared" si="7"/>
        <v>0</v>
      </c>
      <c r="R59" s="106">
        <f t="shared" si="8"/>
        <v>0</v>
      </c>
      <c r="S59" s="136"/>
      <c r="T59" s="136"/>
      <c r="U59" s="136"/>
    </row>
    <row r="60" spans="1:21" s="2" customFormat="1" ht="191.25" x14ac:dyDescent="0.25">
      <c r="A60" s="13" t="s">
        <v>59</v>
      </c>
      <c r="B60" s="17"/>
      <c r="C60" s="30" t="s">
        <v>132</v>
      </c>
      <c r="D60" s="28" t="s">
        <v>134</v>
      </c>
      <c r="E60" s="28">
        <f>2+1</f>
        <v>3</v>
      </c>
      <c r="F60" s="31">
        <f>1</f>
        <v>1</v>
      </c>
      <c r="G60" s="31"/>
      <c r="H60" s="31">
        <f t="shared" si="0"/>
        <v>4</v>
      </c>
      <c r="I60" s="118">
        <v>0</v>
      </c>
      <c r="J60" s="29">
        <f t="shared" si="1"/>
        <v>0</v>
      </c>
      <c r="K60" s="118">
        <v>0</v>
      </c>
      <c r="L60" s="29">
        <f t="shared" si="2"/>
        <v>0</v>
      </c>
      <c r="M60" s="106">
        <f t="shared" si="3"/>
        <v>0</v>
      </c>
      <c r="N60" s="106">
        <f t="shared" si="4"/>
        <v>0</v>
      </c>
      <c r="O60" s="106">
        <f t="shared" si="5"/>
        <v>0</v>
      </c>
      <c r="P60" s="106">
        <f t="shared" si="6"/>
        <v>0</v>
      </c>
      <c r="Q60" s="106">
        <f t="shared" si="7"/>
        <v>0</v>
      </c>
      <c r="R60" s="106">
        <f t="shared" si="8"/>
        <v>0</v>
      </c>
      <c r="S60" s="136"/>
      <c r="T60" s="136"/>
      <c r="U60" s="136"/>
    </row>
    <row r="61" spans="1:21" s="2" customFormat="1" ht="191.25" x14ac:dyDescent="0.25">
      <c r="A61" s="13" t="s">
        <v>58</v>
      </c>
      <c r="B61" s="17"/>
      <c r="C61" s="30" t="s">
        <v>338</v>
      </c>
      <c r="D61" s="28" t="s">
        <v>134</v>
      </c>
      <c r="E61" s="28">
        <f>3+3</f>
        <v>6</v>
      </c>
      <c r="F61" s="31">
        <f>1+2+2+1</f>
        <v>6</v>
      </c>
      <c r="G61" s="31">
        <f>2+2+2</f>
        <v>6</v>
      </c>
      <c r="H61" s="31">
        <f t="shared" si="0"/>
        <v>18</v>
      </c>
      <c r="I61" s="118">
        <v>0</v>
      </c>
      <c r="J61" s="29">
        <f t="shared" si="1"/>
        <v>0</v>
      </c>
      <c r="K61" s="118">
        <v>0</v>
      </c>
      <c r="L61" s="29">
        <f t="shared" si="2"/>
        <v>0</v>
      </c>
      <c r="M61" s="106">
        <f t="shared" si="3"/>
        <v>0</v>
      </c>
      <c r="N61" s="106">
        <f t="shared" si="4"/>
        <v>0</v>
      </c>
      <c r="O61" s="106">
        <f t="shared" si="5"/>
        <v>0</v>
      </c>
      <c r="P61" s="106">
        <f t="shared" si="6"/>
        <v>0</v>
      </c>
      <c r="Q61" s="106">
        <f t="shared" si="7"/>
        <v>0</v>
      </c>
      <c r="R61" s="106">
        <f t="shared" si="8"/>
        <v>0</v>
      </c>
      <c r="S61" s="136"/>
      <c r="T61" s="136"/>
      <c r="U61" s="136"/>
    </row>
    <row r="62" spans="1:21" s="2" customFormat="1" ht="178.5" x14ac:dyDescent="0.25">
      <c r="A62" s="13" t="s">
        <v>70</v>
      </c>
      <c r="B62" s="17"/>
      <c r="C62" s="30" t="s">
        <v>220</v>
      </c>
      <c r="D62" s="28" t="s">
        <v>135</v>
      </c>
      <c r="E62" s="28">
        <f>1+3+1</f>
        <v>5</v>
      </c>
      <c r="F62" s="31">
        <f>12+4+7</f>
        <v>23</v>
      </c>
      <c r="G62" s="31">
        <f>3+8+10</f>
        <v>21</v>
      </c>
      <c r="H62" s="31">
        <f t="shared" ref="H62:H64" si="45">SUM(E62:G62)</f>
        <v>49</v>
      </c>
      <c r="I62" s="118">
        <v>0</v>
      </c>
      <c r="J62" s="29">
        <f t="shared" ref="J62:J64" si="46">H62*I62</f>
        <v>0</v>
      </c>
      <c r="K62" s="118">
        <v>0</v>
      </c>
      <c r="L62" s="29">
        <f t="shared" ref="L62:L64" si="47">K62*H62</f>
        <v>0</v>
      </c>
      <c r="M62" s="106">
        <f t="shared" si="3"/>
        <v>0</v>
      </c>
      <c r="N62" s="106">
        <f t="shared" si="4"/>
        <v>0</v>
      </c>
      <c r="O62" s="106">
        <f t="shared" si="5"/>
        <v>0</v>
      </c>
      <c r="P62" s="106">
        <f t="shared" si="6"/>
        <v>0</v>
      </c>
      <c r="Q62" s="106">
        <f t="shared" si="7"/>
        <v>0</v>
      </c>
      <c r="R62" s="106">
        <f t="shared" si="8"/>
        <v>0</v>
      </c>
      <c r="S62" s="137"/>
      <c r="T62" s="137"/>
      <c r="U62" s="137"/>
    </row>
    <row r="63" spans="1:21" s="27" customFormat="1" ht="178.5" x14ac:dyDescent="0.25">
      <c r="A63" s="13" t="s">
        <v>60</v>
      </c>
      <c r="B63" s="17"/>
      <c r="C63" s="65" t="s">
        <v>221</v>
      </c>
      <c r="D63" s="28" t="s">
        <v>135</v>
      </c>
      <c r="E63" s="28"/>
      <c r="F63" s="31">
        <f>3</f>
        <v>3</v>
      </c>
      <c r="G63" s="31"/>
      <c r="H63" s="31">
        <f t="shared" si="45"/>
        <v>3</v>
      </c>
      <c r="I63" s="118">
        <v>0</v>
      </c>
      <c r="J63" s="29">
        <f t="shared" si="46"/>
        <v>0</v>
      </c>
      <c r="K63" s="118">
        <v>0</v>
      </c>
      <c r="L63" s="29">
        <f t="shared" si="47"/>
        <v>0</v>
      </c>
      <c r="M63" s="106">
        <f t="shared" si="3"/>
        <v>0</v>
      </c>
      <c r="N63" s="106">
        <f t="shared" si="4"/>
        <v>0</v>
      </c>
      <c r="O63" s="106">
        <f t="shared" si="5"/>
        <v>0</v>
      </c>
      <c r="P63" s="106">
        <f t="shared" si="6"/>
        <v>0</v>
      </c>
      <c r="Q63" s="106">
        <f t="shared" si="7"/>
        <v>0</v>
      </c>
      <c r="R63" s="106">
        <f t="shared" si="8"/>
        <v>0</v>
      </c>
      <c r="S63" s="137"/>
      <c r="T63" s="137"/>
      <c r="U63" s="137"/>
    </row>
    <row r="64" spans="1:21" s="27" customFormat="1" ht="191.25" x14ac:dyDescent="0.25">
      <c r="A64" s="13" t="s">
        <v>77</v>
      </c>
      <c r="B64" s="17"/>
      <c r="C64" s="65" t="s">
        <v>337</v>
      </c>
      <c r="D64" s="28" t="s">
        <v>199</v>
      </c>
      <c r="E64" s="28"/>
      <c r="F64" s="31">
        <f>1</f>
        <v>1</v>
      </c>
      <c r="G64" s="31"/>
      <c r="H64" s="31">
        <f t="shared" si="45"/>
        <v>1</v>
      </c>
      <c r="I64" s="118">
        <v>0</v>
      </c>
      <c r="J64" s="29">
        <f t="shared" si="46"/>
        <v>0</v>
      </c>
      <c r="K64" s="118">
        <v>0</v>
      </c>
      <c r="L64" s="29">
        <f t="shared" si="47"/>
        <v>0</v>
      </c>
      <c r="M64" s="106">
        <f t="shared" si="3"/>
        <v>0</v>
      </c>
      <c r="N64" s="106">
        <f t="shared" si="4"/>
        <v>0</v>
      </c>
      <c r="O64" s="106">
        <f t="shared" si="5"/>
        <v>0</v>
      </c>
      <c r="P64" s="106">
        <f t="shared" si="6"/>
        <v>0</v>
      </c>
      <c r="Q64" s="106">
        <f t="shared" si="7"/>
        <v>0</v>
      </c>
      <c r="R64" s="106">
        <f t="shared" si="8"/>
        <v>0</v>
      </c>
      <c r="S64" s="137"/>
      <c r="T64" s="137"/>
      <c r="U64" s="137"/>
    </row>
    <row r="65" spans="1:21" s="2" customFormat="1" ht="186.75" customHeight="1" x14ac:dyDescent="0.25">
      <c r="A65" s="13" t="s">
        <v>75</v>
      </c>
      <c r="B65" s="17"/>
      <c r="C65" s="3" t="s">
        <v>356</v>
      </c>
      <c r="D65" s="28" t="s">
        <v>130</v>
      </c>
      <c r="E65" s="28">
        <f>5+12+18</f>
        <v>35</v>
      </c>
      <c r="F65" s="31">
        <f>32+19+53+43</f>
        <v>147</v>
      </c>
      <c r="G65" s="31">
        <f>40+47+33</f>
        <v>120</v>
      </c>
      <c r="H65" s="31">
        <f t="shared" si="0"/>
        <v>302</v>
      </c>
      <c r="I65" s="118">
        <v>0</v>
      </c>
      <c r="J65" s="29">
        <f t="shared" si="1"/>
        <v>0</v>
      </c>
      <c r="K65" s="118">
        <v>0</v>
      </c>
      <c r="L65" s="29">
        <f t="shared" si="2"/>
        <v>0</v>
      </c>
      <c r="M65" s="106">
        <f t="shared" si="3"/>
        <v>0</v>
      </c>
      <c r="N65" s="106">
        <f t="shared" si="4"/>
        <v>0</v>
      </c>
      <c r="O65" s="106">
        <f t="shared" si="5"/>
        <v>0</v>
      </c>
      <c r="P65" s="106">
        <f t="shared" si="6"/>
        <v>0</v>
      </c>
      <c r="Q65" s="106">
        <f t="shared" si="7"/>
        <v>0</v>
      </c>
      <c r="R65" s="106">
        <f t="shared" si="8"/>
        <v>0</v>
      </c>
      <c r="S65" s="137"/>
      <c r="T65" s="137"/>
      <c r="U65" s="137"/>
    </row>
    <row r="66" spans="1:21" s="2" customFormat="1" ht="178.5" x14ac:dyDescent="0.25">
      <c r="A66" s="13" t="s">
        <v>76</v>
      </c>
      <c r="B66" s="17"/>
      <c r="C66" s="3" t="s">
        <v>355</v>
      </c>
      <c r="D66" s="28" t="s">
        <v>130</v>
      </c>
      <c r="E66" s="28"/>
      <c r="F66" s="31">
        <f>4+8+7</f>
        <v>19</v>
      </c>
      <c r="G66" s="31">
        <f>10+16+10</f>
        <v>36</v>
      </c>
      <c r="H66" s="31">
        <f t="shared" si="0"/>
        <v>55</v>
      </c>
      <c r="I66" s="118">
        <v>0</v>
      </c>
      <c r="J66" s="29">
        <f t="shared" si="1"/>
        <v>0</v>
      </c>
      <c r="K66" s="118">
        <v>0</v>
      </c>
      <c r="L66" s="29">
        <f t="shared" si="2"/>
        <v>0</v>
      </c>
      <c r="M66" s="106">
        <f t="shared" si="3"/>
        <v>0</v>
      </c>
      <c r="N66" s="106">
        <f t="shared" si="4"/>
        <v>0</v>
      </c>
      <c r="O66" s="106">
        <f t="shared" si="5"/>
        <v>0</v>
      </c>
      <c r="P66" s="106">
        <f t="shared" si="6"/>
        <v>0</v>
      </c>
      <c r="Q66" s="106">
        <f t="shared" si="7"/>
        <v>0</v>
      </c>
      <c r="R66" s="106">
        <f t="shared" si="8"/>
        <v>0</v>
      </c>
      <c r="S66" s="137"/>
      <c r="T66" s="137"/>
      <c r="U66" s="137"/>
    </row>
    <row r="67" spans="1:21" s="2" customFormat="1" ht="191.25" x14ac:dyDescent="0.25">
      <c r="A67" s="13" t="s">
        <v>113</v>
      </c>
      <c r="B67" s="17"/>
      <c r="C67" s="3" t="s">
        <v>354</v>
      </c>
      <c r="D67" s="28" t="s">
        <v>130</v>
      </c>
      <c r="E67" s="28">
        <f>5+8+14</f>
        <v>27</v>
      </c>
      <c r="F67" s="31">
        <f>16+38+32</f>
        <v>86</v>
      </c>
      <c r="G67" s="31">
        <f>34+43+28</f>
        <v>105</v>
      </c>
      <c r="H67" s="31">
        <f t="shared" si="0"/>
        <v>218</v>
      </c>
      <c r="I67" s="118">
        <v>0</v>
      </c>
      <c r="J67" s="29">
        <f t="shared" si="1"/>
        <v>0</v>
      </c>
      <c r="K67" s="118">
        <v>0</v>
      </c>
      <c r="L67" s="29">
        <f t="shared" si="2"/>
        <v>0</v>
      </c>
      <c r="M67" s="106">
        <f t="shared" si="3"/>
        <v>0</v>
      </c>
      <c r="N67" s="106">
        <f t="shared" si="4"/>
        <v>0</v>
      </c>
      <c r="O67" s="106">
        <f t="shared" si="5"/>
        <v>0</v>
      </c>
      <c r="P67" s="106">
        <f t="shared" si="6"/>
        <v>0</v>
      </c>
      <c r="Q67" s="106">
        <f t="shared" si="7"/>
        <v>0</v>
      </c>
      <c r="R67" s="106">
        <f t="shared" si="8"/>
        <v>0</v>
      </c>
      <c r="S67" s="137"/>
      <c r="T67" s="137"/>
      <c r="U67" s="137"/>
    </row>
    <row r="68" spans="1:21" s="2" customFormat="1" ht="216.75" x14ac:dyDescent="0.25">
      <c r="A68" s="13" t="s">
        <v>185</v>
      </c>
      <c r="B68" s="58" t="s">
        <v>205</v>
      </c>
      <c r="C68" s="39" t="s">
        <v>346</v>
      </c>
      <c r="D68" s="28" t="s">
        <v>130</v>
      </c>
      <c r="E68" s="28"/>
      <c r="F68" s="31">
        <f>8+6+10</f>
        <v>24</v>
      </c>
      <c r="G68" s="31">
        <f>5+10</f>
        <v>15</v>
      </c>
      <c r="H68" s="31">
        <f t="shared" si="0"/>
        <v>39</v>
      </c>
      <c r="I68" s="118">
        <v>0</v>
      </c>
      <c r="J68" s="29">
        <f t="shared" si="1"/>
        <v>0</v>
      </c>
      <c r="K68" s="118">
        <v>0</v>
      </c>
      <c r="L68" s="29">
        <f t="shared" si="2"/>
        <v>0</v>
      </c>
      <c r="M68" s="106">
        <f t="shared" si="3"/>
        <v>0</v>
      </c>
      <c r="N68" s="106">
        <f t="shared" si="4"/>
        <v>0</v>
      </c>
      <c r="O68" s="106">
        <f t="shared" si="5"/>
        <v>0</v>
      </c>
      <c r="P68" s="106">
        <f t="shared" si="6"/>
        <v>0</v>
      </c>
      <c r="Q68" s="106">
        <f t="shared" si="7"/>
        <v>0</v>
      </c>
      <c r="R68" s="106">
        <f t="shared" si="8"/>
        <v>0</v>
      </c>
      <c r="S68" s="137"/>
      <c r="T68" s="137"/>
      <c r="U68" s="137"/>
    </row>
    <row r="69" spans="1:21" s="2" customFormat="1" ht="178.5" x14ac:dyDescent="0.25">
      <c r="A69" s="13" t="s">
        <v>198</v>
      </c>
      <c r="B69" s="17"/>
      <c r="C69" s="30" t="s">
        <v>353</v>
      </c>
      <c r="D69" s="28" t="s">
        <v>133</v>
      </c>
      <c r="E69" s="28">
        <f>8+6+11</f>
        <v>25</v>
      </c>
      <c r="F69" s="31">
        <f>3+9+7</f>
        <v>19</v>
      </c>
      <c r="G69" s="31">
        <f>1+9+6</f>
        <v>16</v>
      </c>
      <c r="H69" s="31">
        <f t="shared" si="0"/>
        <v>60</v>
      </c>
      <c r="I69" s="118">
        <v>0</v>
      </c>
      <c r="J69" s="29">
        <f t="shared" si="1"/>
        <v>0</v>
      </c>
      <c r="K69" s="118">
        <v>0</v>
      </c>
      <c r="L69" s="29">
        <f t="shared" si="2"/>
        <v>0</v>
      </c>
      <c r="M69" s="106">
        <f t="shared" ref="M69:M132" si="48">E69*I69</f>
        <v>0</v>
      </c>
      <c r="N69" s="106">
        <f t="shared" ref="N69:N132" si="49">E69*K69</f>
        <v>0</v>
      </c>
      <c r="O69" s="106">
        <f t="shared" ref="O69:O132" si="50">F69*I69</f>
        <v>0</v>
      </c>
      <c r="P69" s="106">
        <f t="shared" ref="P69:P132" si="51">F69*K69</f>
        <v>0</v>
      </c>
      <c r="Q69" s="106">
        <f t="shared" ref="Q69:Q132" si="52">G69*I69</f>
        <v>0</v>
      </c>
      <c r="R69" s="106">
        <f t="shared" ref="R69:R132" si="53">G69*K69</f>
        <v>0</v>
      </c>
      <c r="S69" s="137"/>
      <c r="T69" s="137"/>
      <c r="U69" s="137"/>
    </row>
    <row r="70" spans="1:21" s="2" customFormat="1" ht="178.5" x14ac:dyDescent="0.25">
      <c r="A70" s="13" t="s">
        <v>200</v>
      </c>
      <c r="B70" s="17"/>
      <c r="C70" s="65" t="s">
        <v>353</v>
      </c>
      <c r="D70" s="28" t="s">
        <v>134</v>
      </c>
      <c r="E70" s="28">
        <f>1+2</f>
        <v>3</v>
      </c>
      <c r="F70" s="31"/>
      <c r="G70" s="31"/>
      <c r="H70" s="31">
        <f t="shared" ref="H70" si="54">SUM(E70:G70)</f>
        <v>3</v>
      </c>
      <c r="I70" s="118">
        <v>0</v>
      </c>
      <c r="J70" s="29">
        <f t="shared" ref="J70" si="55">H70*I70</f>
        <v>0</v>
      </c>
      <c r="K70" s="118">
        <v>0</v>
      </c>
      <c r="L70" s="29">
        <f t="shared" ref="L70" si="56">K70*H70</f>
        <v>0</v>
      </c>
      <c r="M70" s="106">
        <f t="shared" si="48"/>
        <v>0</v>
      </c>
      <c r="N70" s="106">
        <f t="shared" si="49"/>
        <v>0</v>
      </c>
      <c r="O70" s="106">
        <f t="shared" si="50"/>
        <v>0</v>
      </c>
      <c r="P70" s="106">
        <f t="shared" si="51"/>
        <v>0</v>
      </c>
      <c r="Q70" s="106">
        <f t="shared" si="52"/>
        <v>0</v>
      </c>
      <c r="R70" s="106">
        <f t="shared" si="53"/>
        <v>0</v>
      </c>
      <c r="S70" s="137"/>
      <c r="T70" s="137"/>
      <c r="U70" s="137"/>
    </row>
    <row r="71" spans="1:21" s="2" customFormat="1" ht="199.5" customHeight="1" x14ac:dyDescent="0.25">
      <c r="A71" s="13" t="s">
        <v>204</v>
      </c>
      <c r="B71" s="17"/>
      <c r="C71" s="30" t="s">
        <v>352</v>
      </c>
      <c r="D71" s="28" t="s">
        <v>134</v>
      </c>
      <c r="E71" s="28">
        <f>5+7+10</f>
        <v>22</v>
      </c>
      <c r="F71" s="31">
        <f>1+2</f>
        <v>3</v>
      </c>
      <c r="G71" s="31">
        <f>1</f>
        <v>1</v>
      </c>
      <c r="H71" s="31">
        <f t="shared" si="0"/>
        <v>26</v>
      </c>
      <c r="I71" s="118">
        <v>0</v>
      </c>
      <c r="J71" s="29">
        <f t="shared" si="1"/>
        <v>0</v>
      </c>
      <c r="K71" s="118">
        <v>0</v>
      </c>
      <c r="L71" s="29">
        <f t="shared" si="2"/>
        <v>0</v>
      </c>
      <c r="M71" s="106">
        <f t="shared" si="48"/>
        <v>0</v>
      </c>
      <c r="N71" s="106">
        <f t="shared" si="49"/>
        <v>0</v>
      </c>
      <c r="O71" s="106">
        <f t="shared" si="50"/>
        <v>0</v>
      </c>
      <c r="P71" s="106">
        <f t="shared" si="51"/>
        <v>0</v>
      </c>
      <c r="Q71" s="106">
        <f t="shared" si="52"/>
        <v>0</v>
      </c>
      <c r="R71" s="106">
        <f t="shared" si="53"/>
        <v>0</v>
      </c>
      <c r="S71" s="137"/>
      <c r="T71" s="137"/>
      <c r="U71" s="137"/>
    </row>
    <row r="72" spans="1:21" s="2" customFormat="1" ht="207.75" customHeight="1" x14ac:dyDescent="0.25">
      <c r="A72" s="13" t="s">
        <v>210</v>
      </c>
      <c r="B72" s="17"/>
      <c r="C72" s="30" t="s">
        <v>351</v>
      </c>
      <c r="D72" s="28" t="s">
        <v>133</v>
      </c>
      <c r="E72" s="28"/>
      <c r="F72" s="31">
        <f>3+10+8</f>
        <v>21</v>
      </c>
      <c r="G72" s="31">
        <f>9+2+6</f>
        <v>17</v>
      </c>
      <c r="H72" s="31">
        <f t="shared" si="0"/>
        <v>38</v>
      </c>
      <c r="I72" s="118">
        <v>0</v>
      </c>
      <c r="J72" s="29">
        <f t="shared" si="1"/>
        <v>0</v>
      </c>
      <c r="K72" s="118">
        <v>0</v>
      </c>
      <c r="L72" s="29">
        <f t="shared" si="2"/>
        <v>0</v>
      </c>
      <c r="M72" s="106">
        <f t="shared" si="48"/>
        <v>0</v>
      </c>
      <c r="N72" s="106">
        <f t="shared" si="49"/>
        <v>0</v>
      </c>
      <c r="O72" s="106">
        <f t="shared" si="50"/>
        <v>0</v>
      </c>
      <c r="P72" s="106">
        <f t="shared" si="51"/>
        <v>0</v>
      </c>
      <c r="Q72" s="106">
        <f t="shared" si="52"/>
        <v>0</v>
      </c>
      <c r="R72" s="106">
        <f t="shared" si="53"/>
        <v>0</v>
      </c>
      <c r="S72" s="137"/>
      <c r="T72" s="137"/>
      <c r="U72" s="137"/>
    </row>
    <row r="73" spans="1:21" s="2" customFormat="1" ht="184.5" customHeight="1" x14ac:dyDescent="0.25">
      <c r="A73" s="13" t="s">
        <v>219</v>
      </c>
      <c r="B73" s="17"/>
      <c r="C73" s="30" t="s">
        <v>350</v>
      </c>
      <c r="D73" s="28" t="s">
        <v>135</v>
      </c>
      <c r="E73" s="28">
        <f>1+1+1</f>
        <v>3</v>
      </c>
      <c r="F73" s="31">
        <f>3+26+23</f>
        <v>52</v>
      </c>
      <c r="G73" s="31">
        <f>12+21+20</f>
        <v>53</v>
      </c>
      <c r="H73" s="31">
        <f t="shared" si="0"/>
        <v>108</v>
      </c>
      <c r="I73" s="118">
        <v>0</v>
      </c>
      <c r="J73" s="29">
        <f t="shared" si="1"/>
        <v>0</v>
      </c>
      <c r="K73" s="118">
        <v>0</v>
      </c>
      <c r="L73" s="29">
        <f t="shared" si="2"/>
        <v>0</v>
      </c>
      <c r="M73" s="106">
        <f t="shared" si="48"/>
        <v>0</v>
      </c>
      <c r="N73" s="106">
        <f t="shared" si="49"/>
        <v>0</v>
      </c>
      <c r="O73" s="106">
        <f t="shared" si="50"/>
        <v>0</v>
      </c>
      <c r="P73" s="106">
        <f t="shared" si="51"/>
        <v>0</v>
      </c>
      <c r="Q73" s="106">
        <f t="shared" si="52"/>
        <v>0</v>
      </c>
      <c r="R73" s="106">
        <f t="shared" si="53"/>
        <v>0</v>
      </c>
      <c r="S73" s="137"/>
      <c r="T73" s="137"/>
      <c r="U73" s="137"/>
    </row>
    <row r="74" spans="1:21" s="27" customFormat="1" ht="165.75" x14ac:dyDescent="0.25">
      <c r="A74" s="13" t="s">
        <v>233</v>
      </c>
      <c r="B74" s="17"/>
      <c r="C74" s="65" t="s">
        <v>349</v>
      </c>
      <c r="D74" s="28" t="s">
        <v>21</v>
      </c>
      <c r="E74" s="28"/>
      <c r="F74" s="31">
        <f>4</f>
        <v>4</v>
      </c>
      <c r="G74" s="31"/>
      <c r="H74" s="31">
        <f t="shared" ref="H74" si="57">SUM(E74:G74)</f>
        <v>4</v>
      </c>
      <c r="I74" s="118">
        <v>0</v>
      </c>
      <c r="J74" s="29">
        <f t="shared" si="1"/>
        <v>0</v>
      </c>
      <c r="K74" s="118">
        <v>0</v>
      </c>
      <c r="L74" s="29">
        <f t="shared" si="2"/>
        <v>0</v>
      </c>
      <c r="M74" s="106">
        <f t="shared" si="48"/>
        <v>0</v>
      </c>
      <c r="N74" s="106">
        <f t="shared" si="49"/>
        <v>0</v>
      </c>
      <c r="O74" s="106">
        <f t="shared" si="50"/>
        <v>0</v>
      </c>
      <c r="P74" s="106">
        <f t="shared" si="51"/>
        <v>0</v>
      </c>
      <c r="Q74" s="106">
        <f t="shared" si="52"/>
        <v>0</v>
      </c>
      <c r="R74" s="106">
        <f t="shared" si="53"/>
        <v>0</v>
      </c>
      <c r="S74" s="137"/>
      <c r="T74" s="137"/>
      <c r="U74" s="137"/>
    </row>
    <row r="75" spans="1:21" s="27" customFormat="1" ht="169.5" customHeight="1" x14ac:dyDescent="0.25">
      <c r="A75" s="13" t="s">
        <v>234</v>
      </c>
      <c r="B75" s="38"/>
      <c r="C75" s="65" t="s">
        <v>137</v>
      </c>
      <c r="D75" s="28" t="s">
        <v>136</v>
      </c>
      <c r="E75" s="28">
        <f>2+2+2</f>
        <v>6</v>
      </c>
      <c r="F75" s="31"/>
      <c r="G75" s="31"/>
      <c r="H75" s="31">
        <f t="shared" si="0"/>
        <v>6</v>
      </c>
      <c r="I75" s="118">
        <v>0</v>
      </c>
      <c r="J75" s="29">
        <f t="shared" si="1"/>
        <v>0</v>
      </c>
      <c r="K75" s="118">
        <v>0</v>
      </c>
      <c r="L75" s="29">
        <f t="shared" si="2"/>
        <v>0</v>
      </c>
      <c r="M75" s="106">
        <f t="shared" si="48"/>
        <v>0</v>
      </c>
      <c r="N75" s="106">
        <f t="shared" si="49"/>
        <v>0</v>
      </c>
      <c r="O75" s="106">
        <f t="shared" si="50"/>
        <v>0</v>
      </c>
      <c r="P75" s="106">
        <f t="shared" si="51"/>
        <v>0</v>
      </c>
      <c r="Q75" s="106">
        <f t="shared" si="52"/>
        <v>0</v>
      </c>
      <c r="R75" s="106">
        <f t="shared" si="53"/>
        <v>0</v>
      </c>
      <c r="S75" s="137"/>
      <c r="T75" s="137"/>
      <c r="U75" s="137"/>
    </row>
    <row r="76" spans="1:21" s="2" customFormat="1" ht="46.5" customHeight="1" x14ac:dyDescent="0.25">
      <c r="A76" s="13" t="s">
        <v>235</v>
      </c>
      <c r="B76" s="17"/>
      <c r="C76" s="30" t="s">
        <v>138</v>
      </c>
      <c r="D76" s="28" t="s">
        <v>139</v>
      </c>
      <c r="E76" s="28">
        <f>20+20+28</f>
        <v>68</v>
      </c>
      <c r="F76" s="31">
        <f>20+76+64+3</f>
        <v>163</v>
      </c>
      <c r="G76" s="31">
        <f>46+58+56</f>
        <v>160</v>
      </c>
      <c r="H76" s="31">
        <f t="shared" si="0"/>
        <v>391</v>
      </c>
      <c r="I76" s="118">
        <v>0</v>
      </c>
      <c r="J76" s="29">
        <f t="shared" si="1"/>
        <v>0</v>
      </c>
      <c r="K76" s="118">
        <v>0</v>
      </c>
      <c r="L76" s="29">
        <f t="shared" si="2"/>
        <v>0</v>
      </c>
      <c r="M76" s="106">
        <f t="shared" si="48"/>
        <v>0</v>
      </c>
      <c r="N76" s="106">
        <f t="shared" si="49"/>
        <v>0</v>
      </c>
      <c r="O76" s="106">
        <f t="shared" si="50"/>
        <v>0</v>
      </c>
      <c r="P76" s="106">
        <f t="shared" si="51"/>
        <v>0</v>
      </c>
      <c r="Q76" s="106">
        <f t="shared" si="52"/>
        <v>0</v>
      </c>
      <c r="R76" s="106">
        <f t="shared" si="53"/>
        <v>0</v>
      </c>
      <c r="S76" s="137"/>
      <c r="T76" s="137"/>
      <c r="U76" s="137"/>
    </row>
    <row r="77" spans="1:21" s="2" customFormat="1" ht="46.5" customHeight="1" x14ac:dyDescent="0.25">
      <c r="A77" s="13" t="s">
        <v>298</v>
      </c>
      <c r="B77" s="17"/>
      <c r="C77" s="30" t="s">
        <v>138</v>
      </c>
      <c r="D77" s="28" t="s">
        <v>299</v>
      </c>
      <c r="E77" s="28"/>
      <c r="F77" s="31"/>
      <c r="G77" s="31">
        <v>6</v>
      </c>
      <c r="H77" s="31">
        <f t="shared" ref="H77" si="58">SUM(E77:G77)</f>
        <v>6</v>
      </c>
      <c r="I77" s="118">
        <v>0</v>
      </c>
      <c r="J77" s="75">
        <f t="shared" ref="J77" si="59">H77*I77</f>
        <v>0</v>
      </c>
      <c r="K77" s="118">
        <v>0</v>
      </c>
      <c r="L77" s="75">
        <f t="shared" ref="L77" si="60">K77*H77</f>
        <v>0</v>
      </c>
      <c r="M77" s="106">
        <f t="shared" si="48"/>
        <v>0</v>
      </c>
      <c r="N77" s="106">
        <f t="shared" si="49"/>
        <v>0</v>
      </c>
      <c r="O77" s="106">
        <f t="shared" si="50"/>
        <v>0</v>
      </c>
      <c r="P77" s="106">
        <f t="shared" si="51"/>
        <v>0</v>
      </c>
      <c r="Q77" s="106">
        <f t="shared" si="52"/>
        <v>0</v>
      </c>
      <c r="R77" s="106">
        <f t="shared" si="53"/>
        <v>0</v>
      </c>
      <c r="S77" s="137"/>
      <c r="T77" s="137"/>
      <c r="U77" s="137"/>
    </row>
    <row r="78" spans="1:21" s="2" customFormat="1" ht="90" customHeight="1" x14ac:dyDescent="0.25">
      <c r="A78" s="13" t="s">
        <v>236</v>
      </c>
      <c r="B78" s="14"/>
      <c r="C78" s="3" t="s">
        <v>297</v>
      </c>
      <c r="D78" s="28" t="s">
        <v>197</v>
      </c>
      <c r="E78" s="28">
        <f>3+3+3</f>
        <v>9</v>
      </c>
      <c r="F78" s="31">
        <f>1+3+2</f>
        <v>6</v>
      </c>
      <c r="G78" s="31">
        <f>3+2+2</f>
        <v>7</v>
      </c>
      <c r="H78" s="31">
        <f t="shared" si="0"/>
        <v>22</v>
      </c>
      <c r="I78" s="118">
        <v>0</v>
      </c>
      <c r="J78" s="29">
        <f t="shared" si="1"/>
        <v>0</v>
      </c>
      <c r="K78" s="118">
        <v>0</v>
      </c>
      <c r="L78" s="29">
        <f t="shared" si="2"/>
        <v>0</v>
      </c>
      <c r="M78" s="106">
        <f t="shared" si="48"/>
        <v>0</v>
      </c>
      <c r="N78" s="106">
        <f t="shared" si="49"/>
        <v>0</v>
      </c>
      <c r="O78" s="106">
        <f t="shared" si="50"/>
        <v>0</v>
      </c>
      <c r="P78" s="106">
        <f t="shared" si="51"/>
        <v>0</v>
      </c>
      <c r="Q78" s="106">
        <f t="shared" si="52"/>
        <v>0</v>
      </c>
      <c r="R78" s="106">
        <f t="shared" si="53"/>
        <v>0</v>
      </c>
      <c r="S78" s="137"/>
      <c r="T78" s="137"/>
      <c r="U78" s="137"/>
    </row>
    <row r="79" spans="1:21" s="2" customFormat="1" ht="90" customHeight="1" x14ac:dyDescent="0.25">
      <c r="A79" s="13" t="s">
        <v>237</v>
      </c>
      <c r="B79" s="14"/>
      <c r="C79" s="3" t="s">
        <v>296</v>
      </c>
      <c r="D79" s="28" t="s">
        <v>78</v>
      </c>
      <c r="E79" s="28">
        <v>1</v>
      </c>
      <c r="F79" s="31">
        <f>1</f>
        <v>1</v>
      </c>
      <c r="G79" s="31">
        <v>2</v>
      </c>
      <c r="H79" s="31">
        <f t="shared" si="0"/>
        <v>4</v>
      </c>
      <c r="I79" s="118">
        <v>0</v>
      </c>
      <c r="J79" s="29">
        <f t="shared" si="1"/>
        <v>0</v>
      </c>
      <c r="K79" s="118">
        <v>0</v>
      </c>
      <c r="L79" s="29">
        <f t="shared" si="2"/>
        <v>0</v>
      </c>
      <c r="M79" s="106">
        <f t="shared" si="48"/>
        <v>0</v>
      </c>
      <c r="N79" s="106">
        <f t="shared" si="49"/>
        <v>0</v>
      </c>
      <c r="O79" s="106">
        <f t="shared" si="50"/>
        <v>0</v>
      </c>
      <c r="P79" s="106">
        <f t="shared" si="51"/>
        <v>0</v>
      </c>
      <c r="Q79" s="106">
        <f t="shared" si="52"/>
        <v>0</v>
      </c>
      <c r="R79" s="106">
        <f t="shared" si="53"/>
        <v>0</v>
      </c>
      <c r="S79" s="137"/>
      <c r="T79" s="137"/>
      <c r="U79" s="137"/>
    </row>
    <row r="80" spans="1:21" s="2" customFormat="1" ht="90" customHeight="1" x14ac:dyDescent="0.25">
      <c r="A80" s="13" t="s">
        <v>238</v>
      </c>
      <c r="B80" s="36"/>
      <c r="C80" s="39" t="s">
        <v>296</v>
      </c>
      <c r="D80" s="28" t="s">
        <v>217</v>
      </c>
      <c r="E80" s="28"/>
      <c r="F80" s="31">
        <f>1+1</f>
        <v>2</v>
      </c>
      <c r="G80" s="31">
        <f>1+2</f>
        <v>3</v>
      </c>
      <c r="H80" s="31">
        <f t="shared" ref="H80" si="61">SUM(E80:G80)</f>
        <v>5</v>
      </c>
      <c r="I80" s="118">
        <v>0</v>
      </c>
      <c r="J80" s="29">
        <f t="shared" ref="J80" si="62">H80*I80</f>
        <v>0</v>
      </c>
      <c r="K80" s="118">
        <v>0</v>
      </c>
      <c r="L80" s="29">
        <f t="shared" ref="L80" si="63">K80*H80</f>
        <v>0</v>
      </c>
      <c r="M80" s="106">
        <f t="shared" si="48"/>
        <v>0</v>
      </c>
      <c r="N80" s="106">
        <f t="shared" si="49"/>
        <v>0</v>
      </c>
      <c r="O80" s="106">
        <f t="shared" si="50"/>
        <v>0</v>
      </c>
      <c r="P80" s="106">
        <f t="shared" si="51"/>
        <v>0</v>
      </c>
      <c r="Q80" s="106">
        <f t="shared" si="52"/>
        <v>0</v>
      </c>
      <c r="R80" s="106">
        <f t="shared" si="53"/>
        <v>0</v>
      </c>
      <c r="S80" s="137"/>
      <c r="T80" s="137"/>
      <c r="U80" s="137"/>
    </row>
    <row r="81" spans="1:21" s="27" customFormat="1" ht="137.25" customHeight="1" x14ac:dyDescent="0.25">
      <c r="A81" s="13" t="s">
        <v>239</v>
      </c>
      <c r="B81" s="37"/>
      <c r="C81" s="39" t="s">
        <v>389</v>
      </c>
      <c r="D81" s="28" t="s">
        <v>140</v>
      </c>
      <c r="E81" s="28"/>
      <c r="F81" s="31">
        <f>3</f>
        <v>3</v>
      </c>
      <c r="G81" s="31"/>
      <c r="H81" s="31">
        <f t="shared" si="0"/>
        <v>3</v>
      </c>
      <c r="I81" s="118">
        <v>0</v>
      </c>
      <c r="J81" s="29">
        <f t="shared" ref="J81:J82" si="64">H81*I81</f>
        <v>0</v>
      </c>
      <c r="K81" s="118">
        <v>0</v>
      </c>
      <c r="L81" s="29">
        <f t="shared" ref="L81:L82" si="65">K81*H81</f>
        <v>0</v>
      </c>
      <c r="M81" s="106">
        <f t="shared" si="48"/>
        <v>0</v>
      </c>
      <c r="N81" s="106">
        <f t="shared" si="49"/>
        <v>0</v>
      </c>
      <c r="O81" s="106">
        <f t="shared" si="50"/>
        <v>0</v>
      </c>
      <c r="P81" s="106">
        <f t="shared" si="51"/>
        <v>0</v>
      </c>
      <c r="Q81" s="106">
        <f t="shared" si="52"/>
        <v>0</v>
      </c>
      <c r="R81" s="106">
        <f t="shared" si="53"/>
        <v>0</v>
      </c>
      <c r="S81" s="137"/>
      <c r="T81" s="137"/>
      <c r="U81" s="137"/>
    </row>
    <row r="82" spans="1:21" s="27" customFormat="1" ht="108" customHeight="1" x14ac:dyDescent="0.25">
      <c r="A82" s="13" t="s">
        <v>240</v>
      </c>
      <c r="B82" s="17"/>
      <c r="C82" s="65" t="s">
        <v>202</v>
      </c>
      <c r="D82" s="28" t="s">
        <v>201</v>
      </c>
      <c r="E82" s="28"/>
      <c r="F82" s="31">
        <f>1</f>
        <v>1</v>
      </c>
      <c r="G82" s="31"/>
      <c r="H82" s="31">
        <f t="shared" si="0"/>
        <v>1</v>
      </c>
      <c r="I82" s="118">
        <v>0</v>
      </c>
      <c r="J82" s="29">
        <f t="shared" si="64"/>
        <v>0</v>
      </c>
      <c r="K82" s="118">
        <v>0</v>
      </c>
      <c r="L82" s="29">
        <f t="shared" si="65"/>
        <v>0</v>
      </c>
      <c r="M82" s="106">
        <f t="shared" si="48"/>
        <v>0</v>
      </c>
      <c r="N82" s="106">
        <f t="shared" si="49"/>
        <v>0</v>
      </c>
      <c r="O82" s="106">
        <f t="shared" si="50"/>
        <v>0</v>
      </c>
      <c r="P82" s="106">
        <f t="shared" si="51"/>
        <v>0</v>
      </c>
      <c r="Q82" s="106">
        <f t="shared" si="52"/>
        <v>0</v>
      </c>
      <c r="R82" s="106">
        <f t="shared" si="53"/>
        <v>0</v>
      </c>
      <c r="S82" s="137"/>
      <c r="T82" s="137"/>
      <c r="U82" s="137"/>
    </row>
    <row r="83" spans="1:21" s="27" customFormat="1" ht="90" customHeight="1" x14ac:dyDescent="0.25">
      <c r="A83" s="13" t="s">
        <v>88</v>
      </c>
      <c r="B83" s="36"/>
      <c r="C83" s="39" t="s">
        <v>347</v>
      </c>
      <c r="D83" s="28" t="s">
        <v>90</v>
      </c>
      <c r="E83" s="28">
        <f>1+1</f>
        <v>2</v>
      </c>
      <c r="F83" s="31"/>
      <c r="G83" s="31">
        <f>5+4</f>
        <v>9</v>
      </c>
      <c r="H83" s="31">
        <f t="shared" ref="H83:H141" si="66">SUM(E83:G83)</f>
        <v>11</v>
      </c>
      <c r="I83" s="118">
        <v>0</v>
      </c>
      <c r="J83" s="29">
        <f t="shared" si="1"/>
        <v>0</v>
      </c>
      <c r="K83" s="118">
        <v>0</v>
      </c>
      <c r="L83" s="29">
        <f t="shared" si="2"/>
        <v>0</v>
      </c>
      <c r="M83" s="106">
        <f t="shared" si="48"/>
        <v>0</v>
      </c>
      <c r="N83" s="106">
        <f t="shared" si="49"/>
        <v>0</v>
      </c>
      <c r="O83" s="106">
        <f t="shared" si="50"/>
        <v>0</v>
      </c>
      <c r="P83" s="106">
        <f t="shared" si="51"/>
        <v>0</v>
      </c>
      <c r="Q83" s="106">
        <f t="shared" si="52"/>
        <v>0</v>
      </c>
      <c r="R83" s="106">
        <f t="shared" si="53"/>
        <v>0</v>
      </c>
      <c r="S83" s="137"/>
      <c r="T83" s="137"/>
      <c r="U83" s="137"/>
    </row>
    <row r="84" spans="1:21" s="27" customFormat="1" ht="90" customHeight="1" x14ac:dyDescent="0.25">
      <c r="A84" s="13" t="s">
        <v>89</v>
      </c>
      <c r="B84" s="36"/>
      <c r="C84" s="39" t="s">
        <v>348</v>
      </c>
      <c r="D84" s="28" t="s">
        <v>91</v>
      </c>
      <c r="E84" s="28"/>
      <c r="F84" s="31">
        <f>2+2+1</f>
        <v>5</v>
      </c>
      <c r="G84" s="31">
        <f>2+2</f>
        <v>4</v>
      </c>
      <c r="H84" s="31">
        <f t="shared" si="66"/>
        <v>9</v>
      </c>
      <c r="I84" s="118">
        <v>0</v>
      </c>
      <c r="J84" s="29">
        <f t="shared" si="1"/>
        <v>0</v>
      </c>
      <c r="K84" s="118">
        <v>0</v>
      </c>
      <c r="L84" s="29">
        <f t="shared" si="2"/>
        <v>0</v>
      </c>
      <c r="M84" s="106">
        <f t="shared" si="48"/>
        <v>0</v>
      </c>
      <c r="N84" s="106">
        <f t="shared" si="49"/>
        <v>0</v>
      </c>
      <c r="O84" s="106">
        <f t="shared" si="50"/>
        <v>0</v>
      </c>
      <c r="P84" s="106">
        <f t="shared" si="51"/>
        <v>0</v>
      </c>
      <c r="Q84" s="106">
        <f t="shared" si="52"/>
        <v>0</v>
      </c>
      <c r="R84" s="106">
        <f t="shared" si="53"/>
        <v>0</v>
      </c>
      <c r="S84" s="137"/>
      <c r="T84" s="137"/>
      <c r="U84" s="137"/>
    </row>
    <row r="85" spans="1:21" s="2" customFormat="1" ht="167.25" customHeight="1" x14ac:dyDescent="0.25">
      <c r="A85" s="13" t="s">
        <v>71</v>
      </c>
      <c r="B85" s="17"/>
      <c r="C85" s="65" t="s">
        <v>369</v>
      </c>
      <c r="D85" s="28" t="s">
        <v>79</v>
      </c>
      <c r="E85" s="28">
        <f>3+2</f>
        <v>5</v>
      </c>
      <c r="F85" s="31">
        <f>2+2+2+1</f>
        <v>7</v>
      </c>
      <c r="G85" s="31">
        <f>3+3+2</f>
        <v>8</v>
      </c>
      <c r="H85" s="31">
        <f t="shared" si="66"/>
        <v>20</v>
      </c>
      <c r="I85" s="118">
        <v>0</v>
      </c>
      <c r="J85" s="29">
        <f t="shared" si="1"/>
        <v>0</v>
      </c>
      <c r="K85" s="118">
        <v>0</v>
      </c>
      <c r="L85" s="29">
        <f t="shared" si="2"/>
        <v>0</v>
      </c>
      <c r="M85" s="106">
        <f t="shared" si="48"/>
        <v>0</v>
      </c>
      <c r="N85" s="106">
        <f t="shared" si="49"/>
        <v>0</v>
      </c>
      <c r="O85" s="106">
        <f t="shared" si="50"/>
        <v>0</v>
      </c>
      <c r="P85" s="106">
        <f t="shared" si="51"/>
        <v>0</v>
      </c>
      <c r="Q85" s="106">
        <f t="shared" si="52"/>
        <v>0</v>
      </c>
      <c r="R85" s="106">
        <f t="shared" si="53"/>
        <v>0</v>
      </c>
      <c r="S85" s="137"/>
      <c r="T85" s="137"/>
      <c r="U85" s="137"/>
    </row>
    <row r="86" spans="1:21" s="2" customFormat="1" ht="219.75" customHeight="1" x14ac:dyDescent="0.25">
      <c r="A86" s="13" t="s">
        <v>72</v>
      </c>
      <c r="B86" s="17" t="s">
        <v>73</v>
      </c>
      <c r="C86" s="65" t="s">
        <v>390</v>
      </c>
      <c r="D86" s="28" t="s">
        <v>141</v>
      </c>
      <c r="E86" s="28"/>
      <c r="F86" s="31">
        <f>1</f>
        <v>1</v>
      </c>
      <c r="G86" s="31"/>
      <c r="H86" s="31">
        <f t="shared" si="66"/>
        <v>1</v>
      </c>
      <c r="I86" s="118">
        <v>0</v>
      </c>
      <c r="J86" s="29">
        <f t="shared" ref="J86" si="67">H86*I86</f>
        <v>0</v>
      </c>
      <c r="K86" s="118">
        <v>0</v>
      </c>
      <c r="L86" s="29">
        <f t="shared" ref="L86" si="68">K86*H86</f>
        <v>0</v>
      </c>
      <c r="M86" s="106">
        <f t="shared" si="48"/>
        <v>0</v>
      </c>
      <c r="N86" s="106">
        <f t="shared" si="49"/>
        <v>0</v>
      </c>
      <c r="O86" s="106">
        <f t="shared" si="50"/>
        <v>0</v>
      </c>
      <c r="P86" s="106">
        <f t="shared" si="51"/>
        <v>0</v>
      </c>
      <c r="Q86" s="106">
        <f t="shared" si="52"/>
        <v>0</v>
      </c>
      <c r="R86" s="106">
        <f t="shared" si="53"/>
        <v>0</v>
      </c>
      <c r="S86" s="137"/>
      <c r="T86" s="137"/>
      <c r="U86" s="137"/>
    </row>
    <row r="87" spans="1:21" s="2" customFormat="1" ht="168.75" customHeight="1" x14ac:dyDescent="0.25">
      <c r="A87" s="13" t="s">
        <v>61</v>
      </c>
      <c r="B87" s="17"/>
      <c r="C87" s="65" t="s">
        <v>391</v>
      </c>
      <c r="D87" s="28" t="s">
        <v>142</v>
      </c>
      <c r="E87" s="28">
        <f>5+6+9</f>
        <v>20</v>
      </c>
      <c r="F87" s="31">
        <f>1</f>
        <v>1</v>
      </c>
      <c r="G87" s="31">
        <f>1+1</f>
        <v>2</v>
      </c>
      <c r="H87" s="31">
        <f t="shared" si="66"/>
        <v>23</v>
      </c>
      <c r="I87" s="118">
        <v>0</v>
      </c>
      <c r="J87" s="29">
        <f t="shared" si="1"/>
        <v>0</v>
      </c>
      <c r="K87" s="118">
        <v>0</v>
      </c>
      <c r="L87" s="29">
        <f t="shared" si="2"/>
        <v>0</v>
      </c>
      <c r="M87" s="106">
        <f t="shared" si="48"/>
        <v>0</v>
      </c>
      <c r="N87" s="106">
        <f t="shared" si="49"/>
        <v>0</v>
      </c>
      <c r="O87" s="106">
        <f t="shared" si="50"/>
        <v>0</v>
      </c>
      <c r="P87" s="106">
        <f t="shared" si="51"/>
        <v>0</v>
      </c>
      <c r="Q87" s="106">
        <f t="shared" si="52"/>
        <v>0</v>
      </c>
      <c r="R87" s="106">
        <f t="shared" si="53"/>
        <v>0</v>
      </c>
      <c r="S87" s="137"/>
      <c r="T87" s="137"/>
      <c r="U87" s="137"/>
    </row>
    <row r="88" spans="1:21" s="2" customFormat="1" ht="186" customHeight="1" x14ac:dyDescent="0.25">
      <c r="A88" s="13" t="s">
        <v>63</v>
      </c>
      <c r="B88" s="17"/>
      <c r="C88" s="65" t="s">
        <v>392</v>
      </c>
      <c r="D88" s="28" t="s">
        <v>143</v>
      </c>
      <c r="E88" s="28">
        <v>1</v>
      </c>
      <c r="F88" s="31"/>
      <c r="G88" s="31">
        <f>1+1</f>
        <v>2</v>
      </c>
      <c r="H88" s="31">
        <f t="shared" si="66"/>
        <v>3</v>
      </c>
      <c r="I88" s="118">
        <v>0</v>
      </c>
      <c r="J88" s="29">
        <f t="shared" si="1"/>
        <v>0</v>
      </c>
      <c r="K88" s="118">
        <v>0</v>
      </c>
      <c r="L88" s="29">
        <f t="shared" si="2"/>
        <v>0</v>
      </c>
      <c r="M88" s="106">
        <f t="shared" si="48"/>
        <v>0</v>
      </c>
      <c r="N88" s="106">
        <f t="shared" si="49"/>
        <v>0</v>
      </c>
      <c r="O88" s="106">
        <f t="shared" si="50"/>
        <v>0</v>
      </c>
      <c r="P88" s="106">
        <f t="shared" si="51"/>
        <v>0</v>
      </c>
      <c r="Q88" s="106">
        <f t="shared" si="52"/>
        <v>0</v>
      </c>
      <c r="R88" s="106">
        <f t="shared" si="53"/>
        <v>0</v>
      </c>
      <c r="S88" s="137"/>
      <c r="T88" s="137"/>
      <c r="U88" s="137"/>
    </row>
    <row r="89" spans="1:21" s="2" customFormat="1" ht="187.5" customHeight="1" x14ac:dyDescent="0.25">
      <c r="A89" s="13" t="s">
        <v>62</v>
      </c>
      <c r="B89" s="17"/>
      <c r="C89" s="65" t="s">
        <v>368</v>
      </c>
      <c r="D89" s="28" t="s">
        <v>93</v>
      </c>
      <c r="E89" s="28"/>
      <c r="F89" s="31">
        <f>1</f>
        <v>1</v>
      </c>
      <c r="G89" s="31"/>
      <c r="H89" s="31">
        <f t="shared" si="66"/>
        <v>1</v>
      </c>
      <c r="I89" s="118">
        <v>0</v>
      </c>
      <c r="J89" s="29">
        <f t="shared" si="1"/>
        <v>0</v>
      </c>
      <c r="K89" s="118">
        <v>0</v>
      </c>
      <c r="L89" s="29">
        <f t="shared" si="2"/>
        <v>0</v>
      </c>
      <c r="M89" s="106">
        <f t="shared" si="48"/>
        <v>0</v>
      </c>
      <c r="N89" s="106">
        <f t="shared" si="49"/>
        <v>0</v>
      </c>
      <c r="O89" s="106">
        <f t="shared" si="50"/>
        <v>0</v>
      </c>
      <c r="P89" s="106">
        <f t="shared" si="51"/>
        <v>0</v>
      </c>
      <c r="Q89" s="106">
        <f t="shared" si="52"/>
        <v>0</v>
      </c>
      <c r="R89" s="106">
        <f t="shared" si="53"/>
        <v>0</v>
      </c>
      <c r="S89" s="137"/>
      <c r="T89" s="137"/>
      <c r="U89" s="137"/>
    </row>
    <row r="90" spans="1:21" s="27" customFormat="1" ht="178.5" x14ac:dyDescent="0.25">
      <c r="A90" s="13" t="s">
        <v>156</v>
      </c>
      <c r="B90" s="17"/>
      <c r="C90" s="39" t="s">
        <v>367</v>
      </c>
      <c r="D90" s="28" t="s">
        <v>222</v>
      </c>
      <c r="E90" s="28"/>
      <c r="F90" s="31">
        <v>1</v>
      </c>
      <c r="G90" s="31"/>
      <c r="H90" s="31">
        <f t="shared" si="66"/>
        <v>1</v>
      </c>
      <c r="I90" s="118">
        <v>0</v>
      </c>
      <c r="J90" s="29">
        <f t="shared" si="1"/>
        <v>0</v>
      </c>
      <c r="K90" s="118">
        <v>0</v>
      </c>
      <c r="L90" s="29">
        <f t="shared" si="2"/>
        <v>0</v>
      </c>
      <c r="M90" s="106">
        <f t="shared" si="48"/>
        <v>0</v>
      </c>
      <c r="N90" s="106">
        <f t="shared" si="49"/>
        <v>0</v>
      </c>
      <c r="O90" s="106">
        <f t="shared" si="50"/>
        <v>0</v>
      </c>
      <c r="P90" s="106">
        <f t="shared" si="51"/>
        <v>0</v>
      </c>
      <c r="Q90" s="106">
        <f t="shared" si="52"/>
        <v>0</v>
      </c>
      <c r="R90" s="106">
        <f t="shared" si="53"/>
        <v>0</v>
      </c>
      <c r="S90" s="137"/>
      <c r="T90" s="137"/>
      <c r="U90" s="137"/>
    </row>
    <row r="91" spans="1:21" s="27" customFormat="1" ht="178.5" x14ac:dyDescent="0.25">
      <c r="A91" s="13" t="s">
        <v>196</v>
      </c>
      <c r="B91" s="17"/>
      <c r="C91" s="65" t="s">
        <v>366</v>
      </c>
      <c r="D91" s="28" t="s">
        <v>195</v>
      </c>
      <c r="E91" s="28">
        <f>1+1+1</f>
        <v>3</v>
      </c>
      <c r="F91" s="31"/>
      <c r="G91" s="31"/>
      <c r="H91" s="31">
        <f t="shared" si="66"/>
        <v>3</v>
      </c>
      <c r="I91" s="118">
        <v>0</v>
      </c>
      <c r="J91" s="29">
        <f>H91*I91</f>
        <v>0</v>
      </c>
      <c r="K91" s="118">
        <v>0</v>
      </c>
      <c r="L91" s="29">
        <f t="shared" si="2"/>
        <v>0</v>
      </c>
      <c r="M91" s="106">
        <f t="shared" si="48"/>
        <v>0</v>
      </c>
      <c r="N91" s="106">
        <f t="shared" si="49"/>
        <v>0</v>
      </c>
      <c r="O91" s="106">
        <f t="shared" si="50"/>
        <v>0</v>
      </c>
      <c r="P91" s="106">
        <f t="shared" si="51"/>
        <v>0</v>
      </c>
      <c r="Q91" s="106">
        <f t="shared" si="52"/>
        <v>0</v>
      </c>
      <c r="R91" s="106">
        <f t="shared" si="53"/>
        <v>0</v>
      </c>
      <c r="S91" s="137"/>
      <c r="T91" s="137"/>
      <c r="U91" s="137"/>
    </row>
    <row r="92" spans="1:21" s="2" customFormat="1" ht="96.75" customHeight="1" x14ac:dyDescent="0.25">
      <c r="A92" s="13" t="s">
        <v>74</v>
      </c>
      <c r="B92" s="17"/>
      <c r="C92" s="30" t="s">
        <v>295</v>
      </c>
      <c r="D92" s="28" t="s">
        <v>5</v>
      </c>
      <c r="E92" s="28">
        <f>3+3+3</f>
        <v>9</v>
      </c>
      <c r="F92" s="31">
        <f>46+41+49</f>
        <v>136</v>
      </c>
      <c r="G92" s="31">
        <f>44+25+51+10</f>
        <v>130</v>
      </c>
      <c r="H92" s="31">
        <f t="shared" si="66"/>
        <v>275</v>
      </c>
      <c r="I92" s="118">
        <v>0</v>
      </c>
      <c r="J92" s="29">
        <f t="shared" si="1"/>
        <v>0</v>
      </c>
      <c r="K92" s="118">
        <v>0</v>
      </c>
      <c r="L92" s="29">
        <f t="shared" si="2"/>
        <v>0</v>
      </c>
      <c r="M92" s="106">
        <f t="shared" si="48"/>
        <v>0</v>
      </c>
      <c r="N92" s="106">
        <f t="shared" si="49"/>
        <v>0</v>
      </c>
      <c r="O92" s="106">
        <f t="shared" si="50"/>
        <v>0</v>
      </c>
      <c r="P92" s="106">
        <f t="shared" si="51"/>
        <v>0</v>
      </c>
      <c r="Q92" s="106">
        <f t="shared" si="52"/>
        <v>0</v>
      </c>
      <c r="R92" s="106">
        <f t="shared" si="53"/>
        <v>0</v>
      </c>
      <c r="S92" s="137"/>
      <c r="T92" s="137"/>
      <c r="U92" s="137"/>
    </row>
    <row r="93" spans="1:21" s="27" customFormat="1" ht="96.75" customHeight="1" x14ac:dyDescent="0.25">
      <c r="A93" s="13" t="s">
        <v>118</v>
      </c>
      <c r="B93" s="52"/>
      <c r="C93" s="65" t="s">
        <v>393</v>
      </c>
      <c r="D93" s="28" t="s">
        <v>191</v>
      </c>
      <c r="E93" s="28"/>
      <c r="F93" s="31">
        <f>2</f>
        <v>2</v>
      </c>
      <c r="G93" s="31"/>
      <c r="H93" s="31">
        <f t="shared" si="66"/>
        <v>2</v>
      </c>
      <c r="I93" s="118">
        <v>0</v>
      </c>
      <c r="J93" s="29">
        <f t="shared" ref="J93" si="69">H93*I93</f>
        <v>0</v>
      </c>
      <c r="K93" s="118">
        <v>0</v>
      </c>
      <c r="L93" s="29">
        <f t="shared" ref="L93" si="70">K93*H93</f>
        <v>0</v>
      </c>
      <c r="M93" s="106">
        <f t="shared" si="48"/>
        <v>0</v>
      </c>
      <c r="N93" s="106">
        <f t="shared" si="49"/>
        <v>0</v>
      </c>
      <c r="O93" s="106">
        <f t="shared" si="50"/>
        <v>0</v>
      </c>
      <c r="P93" s="106">
        <f t="shared" si="51"/>
        <v>0</v>
      </c>
      <c r="Q93" s="106">
        <f t="shared" si="52"/>
        <v>0</v>
      </c>
      <c r="R93" s="106">
        <f t="shared" si="53"/>
        <v>0</v>
      </c>
      <c r="S93" s="137"/>
      <c r="T93" s="137"/>
      <c r="U93" s="137"/>
    </row>
    <row r="94" spans="1:21" s="2" customFormat="1" ht="94.5" customHeight="1" x14ac:dyDescent="0.25">
      <c r="A94" s="13" t="s">
        <v>80</v>
      </c>
      <c r="B94" s="17"/>
      <c r="C94" s="3" t="s">
        <v>394</v>
      </c>
      <c r="D94" s="28" t="s">
        <v>144</v>
      </c>
      <c r="E94" s="28">
        <v>1</v>
      </c>
      <c r="F94" s="31">
        <f>1+1</f>
        <v>2</v>
      </c>
      <c r="G94" s="31">
        <f>9</f>
        <v>9</v>
      </c>
      <c r="H94" s="31">
        <f t="shared" si="66"/>
        <v>12</v>
      </c>
      <c r="I94" s="118">
        <v>0</v>
      </c>
      <c r="J94" s="29">
        <f t="shared" si="1"/>
        <v>0</v>
      </c>
      <c r="K94" s="118">
        <v>0</v>
      </c>
      <c r="L94" s="29">
        <f t="shared" si="2"/>
        <v>0</v>
      </c>
      <c r="M94" s="106">
        <f t="shared" si="48"/>
        <v>0</v>
      </c>
      <c r="N94" s="106">
        <f t="shared" si="49"/>
        <v>0</v>
      </c>
      <c r="O94" s="106">
        <f t="shared" si="50"/>
        <v>0</v>
      </c>
      <c r="P94" s="106">
        <f t="shared" si="51"/>
        <v>0</v>
      </c>
      <c r="Q94" s="106">
        <f t="shared" si="52"/>
        <v>0</v>
      </c>
      <c r="R94" s="106">
        <f t="shared" si="53"/>
        <v>0</v>
      </c>
      <c r="S94" s="137"/>
      <c r="T94" s="137"/>
      <c r="U94" s="137"/>
    </row>
    <row r="95" spans="1:21" s="2" customFormat="1" ht="94.5" customHeight="1" x14ac:dyDescent="0.25">
      <c r="A95" s="13" t="s">
        <v>81</v>
      </c>
      <c r="B95" s="17"/>
      <c r="C95" s="3" t="s">
        <v>395</v>
      </c>
      <c r="D95" s="28" t="s">
        <v>145</v>
      </c>
      <c r="E95" s="28">
        <v>2</v>
      </c>
      <c r="F95" s="31"/>
      <c r="G95" s="31"/>
      <c r="H95" s="31">
        <f t="shared" si="66"/>
        <v>2</v>
      </c>
      <c r="I95" s="118">
        <v>0</v>
      </c>
      <c r="J95" s="29">
        <f t="shared" si="1"/>
        <v>0</v>
      </c>
      <c r="K95" s="118">
        <v>0</v>
      </c>
      <c r="L95" s="29">
        <f t="shared" si="2"/>
        <v>0</v>
      </c>
      <c r="M95" s="106">
        <f t="shared" si="48"/>
        <v>0</v>
      </c>
      <c r="N95" s="106">
        <f t="shared" si="49"/>
        <v>0</v>
      </c>
      <c r="O95" s="106">
        <f t="shared" si="50"/>
        <v>0</v>
      </c>
      <c r="P95" s="106">
        <f t="shared" si="51"/>
        <v>0</v>
      </c>
      <c r="Q95" s="106">
        <f t="shared" si="52"/>
        <v>0</v>
      </c>
      <c r="R95" s="106">
        <f t="shared" si="53"/>
        <v>0</v>
      </c>
      <c r="S95" s="137"/>
      <c r="T95" s="137"/>
      <c r="U95" s="137"/>
    </row>
    <row r="96" spans="1:21" s="2" customFormat="1" ht="94.5" customHeight="1" x14ac:dyDescent="0.25">
      <c r="A96" s="13" t="s">
        <v>82</v>
      </c>
      <c r="B96" s="17"/>
      <c r="C96" s="3" t="s">
        <v>396</v>
      </c>
      <c r="D96" s="28" t="s">
        <v>146</v>
      </c>
      <c r="E96" s="28">
        <v>9</v>
      </c>
      <c r="F96" s="31"/>
      <c r="G96" s="31">
        <f>3</f>
        <v>3</v>
      </c>
      <c r="H96" s="31">
        <f t="shared" si="66"/>
        <v>12</v>
      </c>
      <c r="I96" s="118">
        <v>0</v>
      </c>
      <c r="J96" s="29">
        <f t="shared" si="1"/>
        <v>0</v>
      </c>
      <c r="K96" s="118">
        <v>0</v>
      </c>
      <c r="L96" s="29">
        <f t="shared" si="2"/>
        <v>0</v>
      </c>
      <c r="M96" s="106">
        <f t="shared" si="48"/>
        <v>0</v>
      </c>
      <c r="N96" s="106">
        <f t="shared" si="49"/>
        <v>0</v>
      </c>
      <c r="O96" s="106">
        <f t="shared" si="50"/>
        <v>0</v>
      </c>
      <c r="P96" s="106">
        <f t="shared" si="51"/>
        <v>0</v>
      </c>
      <c r="Q96" s="106">
        <f t="shared" si="52"/>
        <v>0</v>
      </c>
      <c r="R96" s="106">
        <f t="shared" si="53"/>
        <v>0</v>
      </c>
      <c r="S96" s="137"/>
      <c r="T96" s="137"/>
      <c r="U96" s="137"/>
    </row>
    <row r="97" spans="1:21" s="2" customFormat="1" ht="94.5" customHeight="1" x14ac:dyDescent="0.25">
      <c r="A97" s="13" t="s">
        <v>83</v>
      </c>
      <c r="B97" s="17"/>
      <c r="C97" s="3" t="s">
        <v>397</v>
      </c>
      <c r="D97" s="28" t="s">
        <v>147</v>
      </c>
      <c r="E97" s="28">
        <v>13</v>
      </c>
      <c r="F97" s="31"/>
      <c r="G97" s="31">
        <f>2</f>
        <v>2</v>
      </c>
      <c r="H97" s="31">
        <f t="shared" si="66"/>
        <v>15</v>
      </c>
      <c r="I97" s="118">
        <v>0</v>
      </c>
      <c r="J97" s="29">
        <f t="shared" si="1"/>
        <v>0</v>
      </c>
      <c r="K97" s="118">
        <v>0</v>
      </c>
      <c r="L97" s="29">
        <f t="shared" si="2"/>
        <v>0</v>
      </c>
      <c r="M97" s="106">
        <f t="shared" si="48"/>
        <v>0</v>
      </c>
      <c r="N97" s="106">
        <f t="shared" si="49"/>
        <v>0</v>
      </c>
      <c r="O97" s="106">
        <f t="shared" si="50"/>
        <v>0</v>
      </c>
      <c r="P97" s="106">
        <f t="shared" si="51"/>
        <v>0</v>
      </c>
      <c r="Q97" s="106">
        <f t="shared" si="52"/>
        <v>0</v>
      </c>
      <c r="R97" s="106">
        <f t="shared" si="53"/>
        <v>0</v>
      </c>
      <c r="S97" s="137"/>
      <c r="T97" s="137"/>
      <c r="U97" s="137"/>
    </row>
    <row r="98" spans="1:21" s="2" customFormat="1" ht="94.5" customHeight="1" x14ac:dyDescent="0.25">
      <c r="A98" s="13" t="s">
        <v>84</v>
      </c>
      <c r="B98" s="17"/>
      <c r="C98" s="3" t="s">
        <v>396</v>
      </c>
      <c r="D98" s="28" t="s">
        <v>148</v>
      </c>
      <c r="E98" s="28">
        <v>19</v>
      </c>
      <c r="F98" s="31"/>
      <c r="G98" s="31"/>
      <c r="H98" s="31">
        <f t="shared" si="66"/>
        <v>19</v>
      </c>
      <c r="I98" s="118">
        <v>0</v>
      </c>
      <c r="J98" s="29">
        <f t="shared" ref="J98:J141" si="71">H98*I98</f>
        <v>0</v>
      </c>
      <c r="K98" s="118">
        <v>0</v>
      </c>
      <c r="L98" s="29">
        <f t="shared" ref="L98:L141" si="72">K98*H98</f>
        <v>0</v>
      </c>
      <c r="M98" s="106">
        <f t="shared" si="48"/>
        <v>0</v>
      </c>
      <c r="N98" s="106">
        <f t="shared" si="49"/>
        <v>0</v>
      </c>
      <c r="O98" s="106">
        <f t="shared" si="50"/>
        <v>0</v>
      </c>
      <c r="P98" s="106">
        <f t="shared" si="51"/>
        <v>0</v>
      </c>
      <c r="Q98" s="106">
        <f t="shared" si="52"/>
        <v>0</v>
      </c>
      <c r="R98" s="106">
        <f t="shared" si="53"/>
        <v>0</v>
      </c>
      <c r="S98" s="137"/>
      <c r="T98" s="137"/>
      <c r="U98" s="137"/>
    </row>
    <row r="99" spans="1:21" s="2" customFormat="1" ht="94.5" customHeight="1" x14ac:dyDescent="0.25">
      <c r="A99" s="13" t="s">
        <v>85</v>
      </c>
      <c r="B99" s="17"/>
      <c r="C99" s="3" t="s">
        <v>396</v>
      </c>
      <c r="D99" s="28" t="s">
        <v>149</v>
      </c>
      <c r="E99" s="28">
        <v>20</v>
      </c>
      <c r="F99" s="31"/>
      <c r="G99" s="31"/>
      <c r="H99" s="31">
        <f t="shared" si="66"/>
        <v>20</v>
      </c>
      <c r="I99" s="118">
        <v>0</v>
      </c>
      <c r="J99" s="29">
        <f t="shared" si="71"/>
        <v>0</v>
      </c>
      <c r="K99" s="118">
        <v>0</v>
      </c>
      <c r="L99" s="29">
        <f t="shared" si="72"/>
        <v>0</v>
      </c>
      <c r="M99" s="106">
        <f t="shared" si="48"/>
        <v>0</v>
      </c>
      <c r="N99" s="106">
        <f t="shared" si="49"/>
        <v>0</v>
      </c>
      <c r="O99" s="106">
        <f t="shared" si="50"/>
        <v>0</v>
      </c>
      <c r="P99" s="106">
        <f t="shared" si="51"/>
        <v>0</v>
      </c>
      <c r="Q99" s="106">
        <f t="shared" si="52"/>
        <v>0</v>
      </c>
      <c r="R99" s="106">
        <f t="shared" si="53"/>
        <v>0</v>
      </c>
      <c r="S99" s="137"/>
      <c r="T99" s="137"/>
      <c r="U99" s="137"/>
    </row>
    <row r="100" spans="1:21" s="2" customFormat="1" ht="94.5" customHeight="1" x14ac:dyDescent="0.25">
      <c r="A100" s="13" t="s">
        <v>86</v>
      </c>
      <c r="B100" s="17"/>
      <c r="C100" s="3" t="s">
        <v>396</v>
      </c>
      <c r="D100" s="28" t="s">
        <v>150</v>
      </c>
      <c r="E100" s="28">
        <v>5</v>
      </c>
      <c r="F100" s="31"/>
      <c r="G100" s="31"/>
      <c r="H100" s="31">
        <f t="shared" si="66"/>
        <v>5</v>
      </c>
      <c r="I100" s="118">
        <v>0</v>
      </c>
      <c r="J100" s="29">
        <f t="shared" si="71"/>
        <v>0</v>
      </c>
      <c r="K100" s="118">
        <v>0</v>
      </c>
      <c r="L100" s="29">
        <f t="shared" si="72"/>
        <v>0</v>
      </c>
      <c r="M100" s="106">
        <f t="shared" si="48"/>
        <v>0</v>
      </c>
      <c r="N100" s="106">
        <f t="shared" si="49"/>
        <v>0</v>
      </c>
      <c r="O100" s="106">
        <f t="shared" si="50"/>
        <v>0</v>
      </c>
      <c r="P100" s="106">
        <f t="shared" si="51"/>
        <v>0</v>
      </c>
      <c r="Q100" s="106">
        <f t="shared" si="52"/>
        <v>0</v>
      </c>
      <c r="R100" s="106">
        <f t="shared" si="53"/>
        <v>0</v>
      </c>
      <c r="S100" s="137"/>
      <c r="T100" s="137"/>
      <c r="U100" s="137"/>
    </row>
    <row r="101" spans="1:21" s="2" customFormat="1" ht="94.5" customHeight="1" x14ac:dyDescent="0.25">
      <c r="A101" s="13" t="s">
        <v>87</v>
      </c>
      <c r="B101" s="17"/>
      <c r="C101" s="3" t="s">
        <v>396</v>
      </c>
      <c r="D101" s="28" t="s">
        <v>151</v>
      </c>
      <c r="E101" s="28"/>
      <c r="F101" s="31">
        <f>9+9+5</f>
        <v>23</v>
      </c>
      <c r="G101" s="31">
        <f>2</f>
        <v>2</v>
      </c>
      <c r="H101" s="31">
        <f t="shared" si="66"/>
        <v>25</v>
      </c>
      <c r="I101" s="118">
        <v>0</v>
      </c>
      <c r="J101" s="29">
        <f t="shared" si="71"/>
        <v>0</v>
      </c>
      <c r="K101" s="118">
        <v>0</v>
      </c>
      <c r="L101" s="29">
        <f t="shared" si="72"/>
        <v>0</v>
      </c>
      <c r="M101" s="106">
        <f t="shared" si="48"/>
        <v>0</v>
      </c>
      <c r="N101" s="106">
        <f t="shared" si="49"/>
        <v>0</v>
      </c>
      <c r="O101" s="106">
        <f t="shared" si="50"/>
        <v>0</v>
      </c>
      <c r="P101" s="106">
        <f t="shared" si="51"/>
        <v>0</v>
      </c>
      <c r="Q101" s="106">
        <f t="shared" si="52"/>
        <v>0</v>
      </c>
      <c r="R101" s="106">
        <f t="shared" si="53"/>
        <v>0</v>
      </c>
      <c r="S101" s="137"/>
      <c r="T101" s="137"/>
      <c r="U101" s="137"/>
    </row>
    <row r="102" spans="1:21" s="2" customFormat="1" ht="94.5" customHeight="1" x14ac:dyDescent="0.25">
      <c r="A102" s="13" t="s">
        <v>114</v>
      </c>
      <c r="B102" s="17"/>
      <c r="C102" s="3" t="s">
        <v>398</v>
      </c>
      <c r="D102" s="28" t="s">
        <v>152</v>
      </c>
      <c r="E102" s="28"/>
      <c r="F102" s="31"/>
      <c r="G102" s="31">
        <f>8</f>
        <v>8</v>
      </c>
      <c r="H102" s="31">
        <f t="shared" si="66"/>
        <v>8</v>
      </c>
      <c r="I102" s="118">
        <v>0</v>
      </c>
      <c r="J102" s="29">
        <f t="shared" ref="J102:J105" si="73">H102*I102</f>
        <v>0</v>
      </c>
      <c r="K102" s="118">
        <v>0</v>
      </c>
      <c r="L102" s="29">
        <f t="shared" ref="L102:L105" si="74">K102*H102</f>
        <v>0</v>
      </c>
      <c r="M102" s="106">
        <f t="shared" si="48"/>
        <v>0</v>
      </c>
      <c r="N102" s="106">
        <f t="shared" si="49"/>
        <v>0</v>
      </c>
      <c r="O102" s="106">
        <f t="shared" si="50"/>
        <v>0</v>
      </c>
      <c r="P102" s="106">
        <f t="shared" si="51"/>
        <v>0</v>
      </c>
      <c r="Q102" s="106">
        <f t="shared" si="52"/>
        <v>0</v>
      </c>
      <c r="R102" s="106">
        <f t="shared" si="53"/>
        <v>0</v>
      </c>
      <c r="S102" s="137"/>
      <c r="T102" s="137"/>
      <c r="U102" s="137"/>
    </row>
    <row r="103" spans="1:21" s="27" customFormat="1" ht="102" x14ac:dyDescent="0.25">
      <c r="A103" s="13" t="s">
        <v>115</v>
      </c>
      <c r="B103" s="82"/>
      <c r="C103" s="39" t="s">
        <v>120</v>
      </c>
      <c r="D103" s="28" t="s">
        <v>155</v>
      </c>
      <c r="E103" s="28"/>
      <c r="F103" s="31"/>
      <c r="G103" s="31">
        <f>3</f>
        <v>3</v>
      </c>
      <c r="H103" s="31">
        <f t="shared" si="66"/>
        <v>3</v>
      </c>
      <c r="I103" s="118">
        <v>0</v>
      </c>
      <c r="J103" s="29">
        <f t="shared" si="73"/>
        <v>0</v>
      </c>
      <c r="K103" s="118">
        <v>0</v>
      </c>
      <c r="L103" s="29">
        <f t="shared" si="74"/>
        <v>0</v>
      </c>
      <c r="M103" s="106">
        <f t="shared" si="48"/>
        <v>0</v>
      </c>
      <c r="N103" s="106">
        <f t="shared" si="49"/>
        <v>0</v>
      </c>
      <c r="O103" s="106">
        <f t="shared" si="50"/>
        <v>0</v>
      </c>
      <c r="P103" s="106">
        <f t="shared" si="51"/>
        <v>0</v>
      </c>
      <c r="Q103" s="106">
        <f t="shared" si="52"/>
        <v>0</v>
      </c>
      <c r="R103" s="106">
        <f t="shared" si="53"/>
        <v>0</v>
      </c>
      <c r="S103" s="137"/>
      <c r="T103" s="137"/>
      <c r="U103" s="137"/>
    </row>
    <row r="104" spans="1:21" s="27" customFormat="1" ht="76.5" x14ac:dyDescent="0.25">
      <c r="A104" s="13" t="s">
        <v>116</v>
      </c>
      <c r="B104" s="17"/>
      <c r="C104" s="39" t="s">
        <v>121</v>
      </c>
      <c r="D104" s="28" t="s">
        <v>154</v>
      </c>
      <c r="E104" s="28"/>
      <c r="F104" s="31"/>
      <c r="G104" s="31">
        <f>1</f>
        <v>1</v>
      </c>
      <c r="H104" s="31">
        <f t="shared" si="66"/>
        <v>1</v>
      </c>
      <c r="I104" s="118">
        <v>0</v>
      </c>
      <c r="J104" s="29">
        <f t="shared" si="73"/>
        <v>0</v>
      </c>
      <c r="K104" s="118">
        <v>0</v>
      </c>
      <c r="L104" s="29">
        <f t="shared" si="74"/>
        <v>0</v>
      </c>
      <c r="M104" s="106">
        <f t="shared" si="48"/>
        <v>0</v>
      </c>
      <c r="N104" s="106">
        <f t="shared" si="49"/>
        <v>0</v>
      </c>
      <c r="O104" s="106">
        <f t="shared" si="50"/>
        <v>0</v>
      </c>
      <c r="P104" s="106">
        <f t="shared" si="51"/>
        <v>0</v>
      </c>
      <c r="Q104" s="106">
        <f t="shared" si="52"/>
        <v>0</v>
      </c>
      <c r="R104" s="106">
        <f t="shared" si="53"/>
        <v>0</v>
      </c>
      <c r="S104" s="137"/>
      <c r="T104" s="137"/>
      <c r="U104" s="137"/>
    </row>
    <row r="105" spans="1:21" s="27" customFormat="1" ht="76.5" x14ac:dyDescent="0.25">
      <c r="A105" s="13" t="s">
        <v>117</v>
      </c>
      <c r="B105" s="17"/>
      <c r="C105" s="39" t="s">
        <v>122</v>
      </c>
      <c r="D105" s="28" t="s">
        <v>153</v>
      </c>
      <c r="E105" s="28"/>
      <c r="F105" s="31"/>
      <c r="G105" s="31">
        <f>4</f>
        <v>4</v>
      </c>
      <c r="H105" s="31">
        <f t="shared" si="66"/>
        <v>4</v>
      </c>
      <c r="I105" s="118">
        <v>0</v>
      </c>
      <c r="J105" s="29">
        <f t="shared" si="73"/>
        <v>0</v>
      </c>
      <c r="K105" s="118">
        <v>0</v>
      </c>
      <c r="L105" s="29">
        <f t="shared" si="74"/>
        <v>0</v>
      </c>
      <c r="M105" s="106">
        <f t="shared" si="48"/>
        <v>0</v>
      </c>
      <c r="N105" s="106">
        <f t="shared" si="49"/>
        <v>0</v>
      </c>
      <c r="O105" s="106">
        <f t="shared" si="50"/>
        <v>0</v>
      </c>
      <c r="P105" s="106">
        <f t="shared" si="51"/>
        <v>0</v>
      </c>
      <c r="Q105" s="106">
        <f t="shared" si="52"/>
        <v>0</v>
      </c>
      <c r="R105" s="106">
        <f t="shared" si="53"/>
        <v>0</v>
      </c>
      <c r="S105" s="137"/>
      <c r="T105" s="137"/>
      <c r="U105" s="137"/>
    </row>
    <row r="106" spans="1:21" s="2" customFormat="1" ht="94.5" customHeight="1" x14ac:dyDescent="0.25">
      <c r="A106" s="13" t="s">
        <v>92</v>
      </c>
      <c r="B106" s="17"/>
      <c r="C106" s="3" t="s">
        <v>125</v>
      </c>
      <c r="D106" s="28" t="s">
        <v>94</v>
      </c>
      <c r="E106" s="28"/>
      <c r="F106" s="31">
        <f>1+1+1+2</f>
        <v>5</v>
      </c>
      <c r="G106" s="31">
        <f>1+2+2</f>
        <v>5</v>
      </c>
      <c r="H106" s="31">
        <f t="shared" si="66"/>
        <v>10</v>
      </c>
      <c r="I106" s="118">
        <v>0</v>
      </c>
      <c r="J106" s="29">
        <f t="shared" si="71"/>
        <v>0</v>
      </c>
      <c r="K106" s="118">
        <v>0</v>
      </c>
      <c r="L106" s="29">
        <f t="shared" si="72"/>
        <v>0</v>
      </c>
      <c r="M106" s="106">
        <f t="shared" si="48"/>
        <v>0</v>
      </c>
      <c r="N106" s="106">
        <f t="shared" si="49"/>
        <v>0</v>
      </c>
      <c r="O106" s="106">
        <f t="shared" si="50"/>
        <v>0</v>
      </c>
      <c r="P106" s="106">
        <f t="shared" si="51"/>
        <v>0</v>
      </c>
      <c r="Q106" s="106">
        <f t="shared" si="52"/>
        <v>0</v>
      </c>
      <c r="R106" s="106">
        <f t="shared" si="53"/>
        <v>0</v>
      </c>
      <c r="S106" s="137"/>
      <c r="T106" s="137"/>
      <c r="U106" s="137"/>
    </row>
    <row r="107" spans="1:21" s="2" customFormat="1" ht="94.5" customHeight="1" x14ac:dyDescent="0.25">
      <c r="A107" s="13" t="s">
        <v>123</v>
      </c>
      <c r="B107" s="17"/>
      <c r="C107" s="3" t="s">
        <v>125</v>
      </c>
      <c r="D107" s="28" t="s">
        <v>124</v>
      </c>
      <c r="E107" s="28"/>
      <c r="F107" s="31">
        <f>1</f>
        <v>1</v>
      </c>
      <c r="G107" s="31"/>
      <c r="H107" s="31">
        <f t="shared" si="66"/>
        <v>1</v>
      </c>
      <c r="I107" s="118">
        <v>0</v>
      </c>
      <c r="J107" s="29">
        <f t="shared" ref="J107" si="75">H107*I107</f>
        <v>0</v>
      </c>
      <c r="K107" s="118">
        <v>0</v>
      </c>
      <c r="L107" s="29">
        <f t="shared" ref="L107" si="76">K107*H107</f>
        <v>0</v>
      </c>
      <c r="M107" s="106">
        <f t="shared" si="48"/>
        <v>0</v>
      </c>
      <c r="N107" s="106">
        <f t="shared" si="49"/>
        <v>0</v>
      </c>
      <c r="O107" s="106">
        <f t="shared" si="50"/>
        <v>0</v>
      </c>
      <c r="P107" s="106">
        <f t="shared" si="51"/>
        <v>0</v>
      </c>
      <c r="Q107" s="106">
        <f t="shared" si="52"/>
        <v>0</v>
      </c>
      <c r="R107" s="106">
        <f t="shared" si="53"/>
        <v>0</v>
      </c>
      <c r="S107" s="137"/>
      <c r="T107" s="137"/>
      <c r="U107" s="137"/>
    </row>
    <row r="108" spans="1:21" s="55" customFormat="1" ht="94.5" customHeight="1" x14ac:dyDescent="0.25">
      <c r="A108" s="53" t="s">
        <v>184</v>
      </c>
      <c r="B108" s="54"/>
      <c r="C108" s="39" t="s">
        <v>192</v>
      </c>
      <c r="D108" s="31"/>
      <c r="E108" s="31"/>
      <c r="F108" s="31">
        <f>1</f>
        <v>1</v>
      </c>
      <c r="G108" s="31"/>
      <c r="H108" s="31">
        <f t="shared" si="66"/>
        <v>1</v>
      </c>
      <c r="I108" s="118">
        <v>0</v>
      </c>
      <c r="J108" s="29">
        <f t="shared" ref="J108" si="77">H108*I108</f>
        <v>0</v>
      </c>
      <c r="K108" s="118">
        <v>0</v>
      </c>
      <c r="L108" s="29">
        <f t="shared" ref="L108" si="78">K108*H108</f>
        <v>0</v>
      </c>
      <c r="M108" s="106">
        <f t="shared" si="48"/>
        <v>0</v>
      </c>
      <c r="N108" s="106">
        <f t="shared" si="49"/>
        <v>0</v>
      </c>
      <c r="O108" s="106">
        <f t="shared" si="50"/>
        <v>0</v>
      </c>
      <c r="P108" s="106">
        <f t="shared" si="51"/>
        <v>0</v>
      </c>
      <c r="Q108" s="106">
        <f t="shared" si="52"/>
        <v>0</v>
      </c>
      <c r="R108" s="106">
        <f t="shared" si="53"/>
        <v>0</v>
      </c>
      <c r="S108" s="137"/>
      <c r="T108" s="137"/>
      <c r="U108" s="137"/>
    </row>
    <row r="109" spans="1:21" s="27" customFormat="1" ht="144" customHeight="1" x14ac:dyDescent="0.25">
      <c r="A109" s="13" t="s">
        <v>97</v>
      </c>
      <c r="B109" s="56" t="s">
        <v>194</v>
      </c>
      <c r="C109" s="39" t="s">
        <v>357</v>
      </c>
      <c r="D109" s="28" t="s">
        <v>246</v>
      </c>
      <c r="E109" s="28"/>
      <c r="F109" s="31">
        <f>1+1</f>
        <v>2</v>
      </c>
      <c r="G109" s="31">
        <f>1</f>
        <v>1</v>
      </c>
      <c r="H109" s="31">
        <f t="shared" si="66"/>
        <v>3</v>
      </c>
      <c r="I109" s="118">
        <v>0</v>
      </c>
      <c r="J109" s="29">
        <f t="shared" si="71"/>
        <v>0</v>
      </c>
      <c r="K109" s="118">
        <v>0</v>
      </c>
      <c r="L109" s="29">
        <f t="shared" si="72"/>
        <v>0</v>
      </c>
      <c r="M109" s="106">
        <f t="shared" si="48"/>
        <v>0</v>
      </c>
      <c r="N109" s="106">
        <f t="shared" si="49"/>
        <v>0</v>
      </c>
      <c r="O109" s="106">
        <f t="shared" si="50"/>
        <v>0</v>
      </c>
      <c r="P109" s="106">
        <f t="shared" si="51"/>
        <v>0</v>
      </c>
      <c r="Q109" s="106">
        <f t="shared" si="52"/>
        <v>0</v>
      </c>
      <c r="R109" s="106">
        <f t="shared" si="53"/>
        <v>0</v>
      </c>
      <c r="S109" s="137"/>
      <c r="T109" s="137"/>
      <c r="U109" s="137"/>
    </row>
    <row r="110" spans="1:21" s="27" customFormat="1" ht="178.5" x14ac:dyDescent="0.25">
      <c r="A110" s="41" t="s">
        <v>157</v>
      </c>
      <c r="B110" s="42"/>
      <c r="C110" s="159" t="s">
        <v>271</v>
      </c>
      <c r="D110" s="43" t="s">
        <v>168</v>
      </c>
      <c r="E110" s="28">
        <v>4</v>
      </c>
      <c r="F110" s="31"/>
      <c r="G110" s="31"/>
      <c r="H110" s="31">
        <f t="shared" si="66"/>
        <v>4</v>
      </c>
      <c r="I110" s="118">
        <v>0</v>
      </c>
      <c r="J110" s="29">
        <f t="shared" si="71"/>
        <v>0</v>
      </c>
      <c r="K110" s="118">
        <v>0</v>
      </c>
      <c r="L110" s="29">
        <f t="shared" si="72"/>
        <v>0</v>
      </c>
      <c r="M110" s="106">
        <f t="shared" si="48"/>
        <v>0</v>
      </c>
      <c r="N110" s="106">
        <f t="shared" si="49"/>
        <v>0</v>
      </c>
      <c r="O110" s="106">
        <f t="shared" si="50"/>
        <v>0</v>
      </c>
      <c r="P110" s="106">
        <f t="shared" si="51"/>
        <v>0</v>
      </c>
      <c r="Q110" s="106">
        <f t="shared" si="52"/>
        <v>0</v>
      </c>
      <c r="R110" s="106">
        <f t="shared" si="53"/>
        <v>0</v>
      </c>
      <c r="S110" s="137"/>
      <c r="T110" s="137"/>
      <c r="U110" s="137"/>
    </row>
    <row r="111" spans="1:21" s="27" customFormat="1" ht="191.25" x14ac:dyDescent="0.25">
      <c r="A111" s="41" t="s">
        <v>158</v>
      </c>
      <c r="B111" s="42"/>
      <c r="C111" s="159" t="s">
        <v>272</v>
      </c>
      <c r="D111" s="43" t="s">
        <v>169</v>
      </c>
      <c r="E111" s="28">
        <v>4</v>
      </c>
      <c r="F111" s="31"/>
      <c r="G111" s="31"/>
      <c r="H111" s="31">
        <f t="shared" si="66"/>
        <v>4</v>
      </c>
      <c r="I111" s="118">
        <v>0</v>
      </c>
      <c r="J111" s="29">
        <f t="shared" si="71"/>
        <v>0</v>
      </c>
      <c r="K111" s="118">
        <v>0</v>
      </c>
      <c r="L111" s="29">
        <f t="shared" si="72"/>
        <v>0</v>
      </c>
      <c r="M111" s="106">
        <f t="shared" si="48"/>
        <v>0</v>
      </c>
      <c r="N111" s="106">
        <f t="shared" si="49"/>
        <v>0</v>
      </c>
      <c r="O111" s="106">
        <f t="shared" si="50"/>
        <v>0</v>
      </c>
      <c r="P111" s="106">
        <f t="shared" si="51"/>
        <v>0</v>
      </c>
      <c r="Q111" s="106">
        <f t="shared" si="52"/>
        <v>0</v>
      </c>
      <c r="R111" s="106">
        <f t="shared" si="53"/>
        <v>0</v>
      </c>
      <c r="S111" s="137"/>
      <c r="T111" s="137"/>
      <c r="U111" s="137"/>
    </row>
    <row r="112" spans="1:21" ht="114.75" x14ac:dyDescent="0.25">
      <c r="A112" s="41" t="s">
        <v>175</v>
      </c>
      <c r="B112" s="42"/>
      <c r="C112" s="159" t="s">
        <v>178</v>
      </c>
      <c r="D112" s="43" t="s">
        <v>176</v>
      </c>
      <c r="E112" s="32"/>
      <c r="F112" s="72"/>
      <c r="G112" s="72">
        <f>2</f>
        <v>2</v>
      </c>
      <c r="H112" s="72">
        <f t="shared" si="66"/>
        <v>2</v>
      </c>
      <c r="I112" s="118">
        <v>0</v>
      </c>
      <c r="J112" s="29">
        <f t="shared" si="71"/>
        <v>0</v>
      </c>
      <c r="K112" s="118">
        <v>0</v>
      </c>
      <c r="L112" s="29">
        <f t="shared" si="72"/>
        <v>0</v>
      </c>
      <c r="M112" s="106">
        <f t="shared" si="48"/>
        <v>0</v>
      </c>
      <c r="N112" s="106">
        <f t="shared" si="49"/>
        <v>0</v>
      </c>
      <c r="O112" s="106">
        <f t="shared" si="50"/>
        <v>0</v>
      </c>
      <c r="P112" s="106">
        <f t="shared" si="51"/>
        <v>0</v>
      </c>
      <c r="Q112" s="106">
        <f t="shared" si="52"/>
        <v>0</v>
      </c>
      <c r="R112" s="106">
        <f t="shared" si="53"/>
        <v>0</v>
      </c>
      <c r="S112" s="137"/>
      <c r="T112" s="137"/>
      <c r="U112" s="137"/>
    </row>
    <row r="113" spans="1:21" s="27" customFormat="1" ht="114.75" x14ac:dyDescent="0.25">
      <c r="A113" s="41" t="s">
        <v>258</v>
      </c>
      <c r="B113" s="42"/>
      <c r="C113" s="159" t="s">
        <v>177</v>
      </c>
      <c r="D113" s="43" t="s">
        <v>176</v>
      </c>
      <c r="E113" s="28"/>
      <c r="F113" s="31">
        <f>1+1</f>
        <v>2</v>
      </c>
      <c r="G113" s="31">
        <f>1</f>
        <v>1</v>
      </c>
      <c r="H113" s="31">
        <f t="shared" si="66"/>
        <v>3</v>
      </c>
      <c r="I113" s="118">
        <v>0</v>
      </c>
      <c r="J113" s="29">
        <f t="shared" si="71"/>
        <v>0</v>
      </c>
      <c r="K113" s="118">
        <v>0</v>
      </c>
      <c r="L113" s="29">
        <f t="shared" si="72"/>
        <v>0</v>
      </c>
      <c r="M113" s="106">
        <f t="shared" si="48"/>
        <v>0</v>
      </c>
      <c r="N113" s="106">
        <f t="shared" si="49"/>
        <v>0</v>
      </c>
      <c r="O113" s="106">
        <f t="shared" si="50"/>
        <v>0</v>
      </c>
      <c r="P113" s="106">
        <f t="shared" si="51"/>
        <v>0</v>
      </c>
      <c r="Q113" s="106">
        <f t="shared" si="52"/>
        <v>0</v>
      </c>
      <c r="R113" s="106">
        <f t="shared" si="53"/>
        <v>0</v>
      </c>
      <c r="S113" s="137"/>
      <c r="T113" s="137"/>
      <c r="U113" s="137"/>
    </row>
    <row r="114" spans="1:21" s="27" customFormat="1" ht="153" x14ac:dyDescent="0.25">
      <c r="A114" s="41" t="s">
        <v>259</v>
      </c>
      <c r="B114" s="42"/>
      <c r="C114" s="159" t="s">
        <v>273</v>
      </c>
      <c r="D114" s="43" t="s">
        <v>170</v>
      </c>
      <c r="E114" s="28">
        <v>5</v>
      </c>
      <c r="F114" s="31"/>
      <c r="G114" s="31">
        <f>1</f>
        <v>1</v>
      </c>
      <c r="H114" s="31">
        <f t="shared" si="66"/>
        <v>6</v>
      </c>
      <c r="I114" s="118">
        <v>0</v>
      </c>
      <c r="J114" s="29">
        <f t="shared" si="71"/>
        <v>0</v>
      </c>
      <c r="K114" s="118">
        <v>0</v>
      </c>
      <c r="L114" s="29">
        <f t="shared" si="72"/>
        <v>0</v>
      </c>
      <c r="M114" s="106">
        <f t="shared" si="48"/>
        <v>0</v>
      </c>
      <c r="N114" s="106">
        <f t="shared" si="49"/>
        <v>0</v>
      </c>
      <c r="O114" s="106">
        <f t="shared" si="50"/>
        <v>0</v>
      </c>
      <c r="P114" s="106">
        <f t="shared" si="51"/>
        <v>0</v>
      </c>
      <c r="Q114" s="106">
        <f t="shared" si="52"/>
        <v>0</v>
      </c>
      <c r="R114" s="106">
        <f t="shared" si="53"/>
        <v>0</v>
      </c>
      <c r="S114" s="137"/>
      <c r="T114" s="137"/>
      <c r="U114" s="137"/>
    </row>
    <row r="115" spans="1:21" s="27" customFormat="1" ht="216.75" x14ac:dyDescent="0.25">
      <c r="A115" s="41" t="s">
        <v>159</v>
      </c>
      <c r="B115" s="42"/>
      <c r="C115" s="159" t="s">
        <v>399</v>
      </c>
      <c r="D115" s="43" t="s">
        <v>171</v>
      </c>
      <c r="E115" s="28">
        <v>1</v>
      </c>
      <c r="F115" s="31"/>
      <c r="G115" s="31">
        <f>1</f>
        <v>1</v>
      </c>
      <c r="H115" s="31">
        <f t="shared" si="66"/>
        <v>2</v>
      </c>
      <c r="I115" s="118">
        <v>0</v>
      </c>
      <c r="J115" s="29">
        <f t="shared" si="71"/>
        <v>0</v>
      </c>
      <c r="K115" s="118">
        <v>0</v>
      </c>
      <c r="L115" s="29">
        <f t="shared" si="72"/>
        <v>0</v>
      </c>
      <c r="M115" s="106">
        <f t="shared" si="48"/>
        <v>0</v>
      </c>
      <c r="N115" s="106">
        <f t="shared" si="49"/>
        <v>0</v>
      </c>
      <c r="O115" s="106">
        <f t="shared" si="50"/>
        <v>0</v>
      </c>
      <c r="P115" s="106">
        <f t="shared" si="51"/>
        <v>0</v>
      </c>
      <c r="Q115" s="106">
        <f t="shared" si="52"/>
        <v>0</v>
      </c>
      <c r="R115" s="106">
        <f t="shared" si="53"/>
        <v>0</v>
      </c>
      <c r="S115" s="137"/>
      <c r="T115" s="137"/>
      <c r="U115" s="137"/>
    </row>
    <row r="116" spans="1:21" s="27" customFormat="1" ht="63.75" x14ac:dyDescent="0.25">
      <c r="A116" s="41" t="s">
        <v>160</v>
      </c>
      <c r="B116" s="42"/>
      <c r="C116" s="159" t="s">
        <v>274</v>
      </c>
      <c r="D116" s="43" t="s">
        <v>172</v>
      </c>
      <c r="E116" s="28">
        <v>1</v>
      </c>
      <c r="F116" s="31"/>
      <c r="G116" s="31">
        <v>1</v>
      </c>
      <c r="H116" s="31">
        <f t="shared" si="66"/>
        <v>2</v>
      </c>
      <c r="I116" s="118">
        <v>0</v>
      </c>
      <c r="J116" s="29">
        <f t="shared" si="71"/>
        <v>0</v>
      </c>
      <c r="K116" s="118">
        <v>0</v>
      </c>
      <c r="L116" s="29">
        <f t="shared" si="72"/>
        <v>0</v>
      </c>
      <c r="M116" s="106">
        <f t="shared" si="48"/>
        <v>0</v>
      </c>
      <c r="N116" s="106">
        <f t="shared" si="49"/>
        <v>0</v>
      </c>
      <c r="O116" s="106">
        <f t="shared" si="50"/>
        <v>0</v>
      </c>
      <c r="P116" s="106">
        <f t="shared" si="51"/>
        <v>0</v>
      </c>
      <c r="Q116" s="106">
        <f t="shared" si="52"/>
        <v>0</v>
      </c>
      <c r="R116" s="106">
        <f t="shared" si="53"/>
        <v>0</v>
      </c>
      <c r="S116" s="137"/>
      <c r="T116" s="137"/>
      <c r="U116" s="137"/>
    </row>
    <row r="117" spans="1:21" s="27" customFormat="1" ht="63.75" x14ac:dyDescent="0.25">
      <c r="A117" s="41" t="s">
        <v>161</v>
      </c>
      <c r="B117" s="42"/>
      <c r="C117" s="159" t="s">
        <v>274</v>
      </c>
      <c r="D117" s="43" t="s">
        <v>173</v>
      </c>
      <c r="E117" s="28">
        <v>2</v>
      </c>
      <c r="F117" s="31">
        <v>2</v>
      </c>
      <c r="G117" s="31">
        <v>2</v>
      </c>
      <c r="H117" s="31">
        <f t="shared" si="66"/>
        <v>6</v>
      </c>
      <c r="I117" s="118">
        <v>0</v>
      </c>
      <c r="J117" s="29">
        <f t="shared" si="71"/>
        <v>0</v>
      </c>
      <c r="K117" s="118">
        <v>0</v>
      </c>
      <c r="L117" s="29">
        <f t="shared" si="72"/>
        <v>0</v>
      </c>
      <c r="M117" s="106">
        <f t="shared" si="48"/>
        <v>0</v>
      </c>
      <c r="N117" s="106">
        <f t="shared" si="49"/>
        <v>0</v>
      </c>
      <c r="O117" s="106">
        <f t="shared" si="50"/>
        <v>0</v>
      </c>
      <c r="P117" s="106">
        <f t="shared" si="51"/>
        <v>0</v>
      </c>
      <c r="Q117" s="106">
        <f t="shared" si="52"/>
        <v>0</v>
      </c>
      <c r="R117" s="106">
        <f t="shared" si="53"/>
        <v>0</v>
      </c>
      <c r="S117" s="137"/>
      <c r="T117" s="137"/>
      <c r="U117" s="137"/>
    </row>
    <row r="118" spans="1:21" s="27" customFormat="1" ht="114.75" x14ac:dyDescent="0.25">
      <c r="A118" s="41" t="s">
        <v>162</v>
      </c>
      <c r="B118" s="42"/>
      <c r="C118" s="159" t="s">
        <v>179</v>
      </c>
      <c r="D118" s="43" t="s">
        <v>181</v>
      </c>
      <c r="E118" s="28"/>
      <c r="F118" s="31">
        <f>1</f>
        <v>1</v>
      </c>
      <c r="G118" s="31">
        <f>4</f>
        <v>4</v>
      </c>
      <c r="H118" s="31">
        <f t="shared" si="66"/>
        <v>5</v>
      </c>
      <c r="I118" s="118">
        <v>0</v>
      </c>
      <c r="J118" s="29">
        <f t="shared" si="71"/>
        <v>0</v>
      </c>
      <c r="K118" s="118">
        <v>0</v>
      </c>
      <c r="L118" s="29">
        <f t="shared" si="72"/>
        <v>0</v>
      </c>
      <c r="M118" s="106">
        <f t="shared" si="48"/>
        <v>0</v>
      </c>
      <c r="N118" s="106">
        <f t="shared" si="49"/>
        <v>0</v>
      </c>
      <c r="O118" s="106">
        <f t="shared" si="50"/>
        <v>0</v>
      </c>
      <c r="P118" s="106">
        <f t="shared" si="51"/>
        <v>0</v>
      </c>
      <c r="Q118" s="106">
        <f t="shared" si="52"/>
        <v>0</v>
      </c>
      <c r="R118" s="106">
        <f t="shared" si="53"/>
        <v>0</v>
      </c>
      <c r="S118" s="137"/>
      <c r="T118" s="137"/>
      <c r="U118" s="137"/>
    </row>
    <row r="119" spans="1:21" s="27" customFormat="1" ht="114.75" x14ac:dyDescent="0.25">
      <c r="A119" s="41" t="s">
        <v>163</v>
      </c>
      <c r="B119" s="42"/>
      <c r="C119" s="159" t="s">
        <v>180</v>
      </c>
      <c r="D119" s="43" t="s">
        <v>182</v>
      </c>
      <c r="E119" s="28"/>
      <c r="F119" s="31">
        <f>1</f>
        <v>1</v>
      </c>
      <c r="G119" s="31"/>
      <c r="H119" s="31">
        <f t="shared" si="66"/>
        <v>1</v>
      </c>
      <c r="I119" s="118">
        <v>0</v>
      </c>
      <c r="J119" s="29">
        <f t="shared" si="71"/>
        <v>0</v>
      </c>
      <c r="K119" s="118">
        <v>0</v>
      </c>
      <c r="L119" s="29">
        <f t="shared" si="72"/>
        <v>0</v>
      </c>
      <c r="M119" s="106">
        <f t="shared" si="48"/>
        <v>0</v>
      </c>
      <c r="N119" s="106">
        <f t="shared" si="49"/>
        <v>0</v>
      </c>
      <c r="O119" s="106">
        <f t="shared" si="50"/>
        <v>0</v>
      </c>
      <c r="P119" s="106">
        <f t="shared" si="51"/>
        <v>0</v>
      </c>
      <c r="Q119" s="106">
        <f t="shared" si="52"/>
        <v>0</v>
      </c>
      <c r="R119" s="106">
        <f t="shared" si="53"/>
        <v>0</v>
      </c>
      <c r="S119" s="137"/>
      <c r="T119" s="137"/>
      <c r="U119" s="137"/>
    </row>
    <row r="120" spans="1:21" s="27" customFormat="1" ht="344.25" x14ac:dyDescent="0.25">
      <c r="A120" s="41" t="s">
        <v>264</v>
      </c>
      <c r="B120" s="44"/>
      <c r="C120" s="160" t="s">
        <v>275</v>
      </c>
      <c r="D120" s="43" t="s">
        <v>183</v>
      </c>
      <c r="E120" s="28"/>
      <c r="F120" s="31">
        <f>3</f>
        <v>3</v>
      </c>
      <c r="G120" s="31">
        <f>2</f>
        <v>2</v>
      </c>
      <c r="H120" s="31">
        <f t="shared" si="66"/>
        <v>5</v>
      </c>
      <c r="I120" s="118">
        <v>0</v>
      </c>
      <c r="J120" s="29">
        <f t="shared" si="71"/>
        <v>0</v>
      </c>
      <c r="K120" s="118">
        <v>0</v>
      </c>
      <c r="L120" s="29">
        <f t="shared" si="72"/>
        <v>0</v>
      </c>
      <c r="M120" s="106">
        <f t="shared" si="48"/>
        <v>0</v>
      </c>
      <c r="N120" s="106">
        <f t="shared" si="49"/>
        <v>0</v>
      </c>
      <c r="O120" s="106">
        <f t="shared" si="50"/>
        <v>0</v>
      </c>
      <c r="P120" s="106">
        <f t="shared" si="51"/>
        <v>0</v>
      </c>
      <c r="Q120" s="106">
        <f t="shared" si="52"/>
        <v>0</v>
      </c>
      <c r="R120" s="106">
        <f t="shared" si="53"/>
        <v>0</v>
      </c>
      <c r="S120" s="137"/>
      <c r="T120" s="137"/>
      <c r="U120" s="137"/>
    </row>
    <row r="121" spans="1:21" s="27" customFormat="1" ht="151.5" customHeight="1" x14ac:dyDescent="0.25">
      <c r="A121" s="41" t="s">
        <v>265</v>
      </c>
      <c r="B121" s="63"/>
      <c r="C121" s="161" t="s">
        <v>212</v>
      </c>
      <c r="D121" s="64" t="s">
        <v>250</v>
      </c>
      <c r="E121" s="62"/>
      <c r="F121" s="85">
        <f>1</f>
        <v>1</v>
      </c>
      <c r="G121" s="85"/>
      <c r="H121" s="85">
        <f t="shared" si="66"/>
        <v>1</v>
      </c>
      <c r="I121" s="118">
        <v>0</v>
      </c>
      <c r="J121" s="29">
        <f t="shared" si="71"/>
        <v>0</v>
      </c>
      <c r="K121" s="118">
        <v>0</v>
      </c>
      <c r="L121" s="29">
        <f>K121*H121</f>
        <v>0</v>
      </c>
      <c r="M121" s="106">
        <f t="shared" si="48"/>
        <v>0</v>
      </c>
      <c r="N121" s="106">
        <f t="shared" si="49"/>
        <v>0</v>
      </c>
      <c r="O121" s="106">
        <f t="shared" si="50"/>
        <v>0</v>
      </c>
      <c r="P121" s="106">
        <f t="shared" si="51"/>
        <v>0</v>
      </c>
      <c r="Q121" s="106">
        <f t="shared" si="52"/>
        <v>0</v>
      </c>
      <c r="R121" s="106">
        <f t="shared" si="53"/>
        <v>0</v>
      </c>
      <c r="S121" s="137"/>
      <c r="T121" s="137"/>
      <c r="U121" s="137"/>
    </row>
    <row r="122" spans="1:21" ht="165.75" x14ac:dyDescent="0.25">
      <c r="A122" s="77" t="s">
        <v>266</v>
      </c>
      <c r="B122" s="45"/>
      <c r="C122" s="162" t="s">
        <v>276</v>
      </c>
      <c r="D122" s="73" t="s">
        <v>19</v>
      </c>
      <c r="E122" s="32"/>
      <c r="F122" s="72"/>
      <c r="G122" s="72">
        <f>2</f>
        <v>2</v>
      </c>
      <c r="H122" s="72">
        <f t="shared" ref="H122:H124" si="79">SUM(E122:G122)</f>
        <v>2</v>
      </c>
      <c r="I122" s="118">
        <v>0</v>
      </c>
      <c r="J122" s="29">
        <f t="shared" ref="J122:J124" si="80">H122*I122</f>
        <v>0</v>
      </c>
      <c r="K122" s="118">
        <v>0</v>
      </c>
      <c r="L122" s="29">
        <f t="shared" ref="L122:L123" si="81">K122*H122</f>
        <v>0</v>
      </c>
      <c r="M122" s="106">
        <f t="shared" si="48"/>
        <v>0</v>
      </c>
      <c r="N122" s="106">
        <f t="shared" si="49"/>
        <v>0</v>
      </c>
      <c r="O122" s="106">
        <f t="shared" si="50"/>
        <v>0</v>
      </c>
      <c r="P122" s="106">
        <f t="shared" si="51"/>
        <v>0</v>
      </c>
      <c r="Q122" s="106">
        <f t="shared" si="52"/>
        <v>0</v>
      </c>
      <c r="R122" s="106">
        <f t="shared" si="53"/>
        <v>0</v>
      </c>
      <c r="S122" s="137"/>
      <c r="T122" s="137"/>
      <c r="U122" s="137"/>
    </row>
    <row r="123" spans="1:21" ht="191.25" x14ac:dyDescent="0.25">
      <c r="A123" s="41" t="s">
        <v>267</v>
      </c>
      <c r="B123" s="42"/>
      <c r="C123" s="159" t="s">
        <v>400</v>
      </c>
      <c r="D123" s="43" t="s">
        <v>249</v>
      </c>
      <c r="E123" s="32"/>
      <c r="F123" s="72">
        <f>1</f>
        <v>1</v>
      </c>
      <c r="G123" s="72"/>
      <c r="H123" s="72">
        <f t="shared" si="79"/>
        <v>1</v>
      </c>
      <c r="I123" s="118">
        <v>0</v>
      </c>
      <c r="J123" s="29">
        <f t="shared" si="80"/>
        <v>0</v>
      </c>
      <c r="K123" s="118">
        <v>0</v>
      </c>
      <c r="L123" s="29">
        <f t="shared" si="81"/>
        <v>0</v>
      </c>
      <c r="M123" s="106">
        <f t="shared" si="48"/>
        <v>0</v>
      </c>
      <c r="N123" s="106">
        <f t="shared" si="49"/>
        <v>0</v>
      </c>
      <c r="O123" s="106">
        <f t="shared" si="50"/>
        <v>0</v>
      </c>
      <c r="P123" s="106">
        <f t="shared" si="51"/>
        <v>0</v>
      </c>
      <c r="Q123" s="106">
        <f t="shared" si="52"/>
        <v>0</v>
      </c>
      <c r="R123" s="106">
        <f t="shared" si="53"/>
        <v>0</v>
      </c>
      <c r="S123" s="137"/>
      <c r="T123" s="137"/>
      <c r="U123" s="137"/>
    </row>
    <row r="124" spans="1:21" ht="140.25" x14ac:dyDescent="0.25">
      <c r="A124" s="41" t="s">
        <v>268</v>
      </c>
      <c r="B124" s="42"/>
      <c r="C124" s="159" t="s">
        <v>401</v>
      </c>
      <c r="D124" s="43" t="s">
        <v>269</v>
      </c>
      <c r="E124" s="32"/>
      <c r="F124" s="72">
        <f>2</f>
        <v>2</v>
      </c>
      <c r="G124" s="72"/>
      <c r="H124" s="72">
        <f t="shared" si="79"/>
        <v>2</v>
      </c>
      <c r="I124" s="118">
        <v>0</v>
      </c>
      <c r="J124" s="29">
        <f t="shared" si="80"/>
        <v>0</v>
      </c>
      <c r="K124" s="118">
        <v>0</v>
      </c>
      <c r="L124" s="29">
        <f>K124*H124</f>
        <v>0</v>
      </c>
      <c r="M124" s="106">
        <f t="shared" si="48"/>
        <v>0</v>
      </c>
      <c r="N124" s="106">
        <f t="shared" si="49"/>
        <v>0</v>
      </c>
      <c r="O124" s="106">
        <f t="shared" si="50"/>
        <v>0</v>
      </c>
      <c r="P124" s="106">
        <f t="shared" si="51"/>
        <v>0</v>
      </c>
      <c r="Q124" s="106">
        <f t="shared" si="52"/>
        <v>0</v>
      </c>
      <c r="R124" s="106">
        <f t="shared" si="53"/>
        <v>0</v>
      </c>
      <c r="S124" s="137"/>
      <c r="T124" s="137"/>
      <c r="U124" s="137"/>
    </row>
    <row r="125" spans="1:21" s="27" customFormat="1" ht="344.25" x14ac:dyDescent="0.25">
      <c r="A125" s="41" t="s">
        <v>164</v>
      </c>
      <c r="B125" s="44"/>
      <c r="C125" s="160" t="s">
        <v>277</v>
      </c>
      <c r="D125" s="43" t="s">
        <v>247</v>
      </c>
      <c r="E125" s="28"/>
      <c r="F125" s="31"/>
      <c r="G125" s="31">
        <f>1</f>
        <v>1</v>
      </c>
      <c r="H125" s="31">
        <f t="shared" si="66"/>
        <v>1</v>
      </c>
      <c r="I125" s="118">
        <v>0</v>
      </c>
      <c r="J125" s="29">
        <f t="shared" si="71"/>
        <v>0</v>
      </c>
      <c r="K125" s="118">
        <v>0</v>
      </c>
      <c r="L125" s="29">
        <f t="shared" si="72"/>
        <v>0</v>
      </c>
      <c r="M125" s="106">
        <f t="shared" si="48"/>
        <v>0</v>
      </c>
      <c r="N125" s="106">
        <f t="shared" si="49"/>
        <v>0</v>
      </c>
      <c r="O125" s="106">
        <f t="shared" si="50"/>
        <v>0</v>
      </c>
      <c r="P125" s="106">
        <f t="shared" si="51"/>
        <v>0</v>
      </c>
      <c r="Q125" s="106">
        <f t="shared" si="52"/>
        <v>0</v>
      </c>
      <c r="R125" s="106">
        <f t="shared" si="53"/>
        <v>0</v>
      </c>
      <c r="S125" s="137"/>
      <c r="T125" s="137"/>
      <c r="U125" s="137"/>
    </row>
    <row r="126" spans="1:21" s="2" customFormat="1" ht="331.5" x14ac:dyDescent="0.25">
      <c r="A126" s="41" t="s">
        <v>167</v>
      </c>
      <c r="B126" s="44"/>
      <c r="C126" s="160" t="s">
        <v>282</v>
      </c>
      <c r="D126" s="43" t="s">
        <v>248</v>
      </c>
      <c r="E126" s="43"/>
      <c r="F126" s="86"/>
      <c r="G126" s="86">
        <f>1</f>
        <v>1</v>
      </c>
      <c r="H126" s="86">
        <f t="shared" si="66"/>
        <v>1</v>
      </c>
      <c r="I126" s="118">
        <v>0</v>
      </c>
      <c r="J126" s="29">
        <f t="shared" si="71"/>
        <v>0</v>
      </c>
      <c r="K126" s="118">
        <v>0</v>
      </c>
      <c r="L126" s="29">
        <f t="shared" si="72"/>
        <v>0</v>
      </c>
      <c r="M126" s="106">
        <f t="shared" si="48"/>
        <v>0</v>
      </c>
      <c r="N126" s="106">
        <f t="shared" si="49"/>
        <v>0</v>
      </c>
      <c r="O126" s="106">
        <f t="shared" si="50"/>
        <v>0</v>
      </c>
      <c r="P126" s="106">
        <f t="shared" si="51"/>
        <v>0</v>
      </c>
      <c r="Q126" s="106">
        <f t="shared" si="52"/>
        <v>0</v>
      </c>
      <c r="R126" s="106">
        <f t="shared" si="53"/>
        <v>0</v>
      </c>
      <c r="S126" s="137"/>
      <c r="T126" s="137"/>
      <c r="U126" s="137"/>
    </row>
    <row r="127" spans="1:21" s="27" customFormat="1" ht="280.5" x14ac:dyDescent="0.25">
      <c r="A127" s="148" t="s">
        <v>263</v>
      </c>
      <c r="B127" s="148"/>
      <c r="C127" s="161" t="s">
        <v>402</v>
      </c>
      <c r="D127" s="142" t="s">
        <v>174</v>
      </c>
      <c r="E127" s="154"/>
      <c r="F127" s="156">
        <f>1</f>
        <v>1</v>
      </c>
      <c r="G127" s="156"/>
      <c r="H127" s="156">
        <f t="shared" si="66"/>
        <v>1</v>
      </c>
      <c r="I127" s="150">
        <v>0</v>
      </c>
      <c r="J127" s="140">
        <f t="shared" si="71"/>
        <v>0</v>
      </c>
      <c r="K127" s="146">
        <v>0</v>
      </c>
      <c r="L127" s="140">
        <f t="shared" si="72"/>
        <v>0</v>
      </c>
      <c r="M127" s="106">
        <f t="shared" si="48"/>
        <v>0</v>
      </c>
      <c r="N127" s="106">
        <f t="shared" si="49"/>
        <v>0</v>
      </c>
      <c r="O127" s="106">
        <f t="shared" si="50"/>
        <v>0</v>
      </c>
      <c r="P127" s="106">
        <f t="shared" si="51"/>
        <v>0</v>
      </c>
      <c r="Q127" s="106">
        <f t="shared" si="52"/>
        <v>0</v>
      </c>
      <c r="R127" s="106">
        <f t="shared" si="53"/>
        <v>0</v>
      </c>
      <c r="S127" s="137"/>
      <c r="T127" s="137"/>
      <c r="U127" s="137"/>
    </row>
    <row r="128" spans="1:21" s="27" customFormat="1" ht="204" x14ac:dyDescent="0.25">
      <c r="A128" s="149"/>
      <c r="B128" s="149"/>
      <c r="C128" s="163" t="s">
        <v>278</v>
      </c>
      <c r="D128" s="143"/>
      <c r="E128" s="155"/>
      <c r="F128" s="157"/>
      <c r="G128" s="157"/>
      <c r="H128" s="157"/>
      <c r="I128" s="151"/>
      <c r="J128" s="141"/>
      <c r="K128" s="147"/>
      <c r="L128" s="141"/>
      <c r="M128" s="106">
        <f t="shared" si="48"/>
        <v>0</v>
      </c>
      <c r="N128" s="106">
        <f t="shared" si="49"/>
        <v>0</v>
      </c>
      <c r="O128" s="106">
        <f t="shared" si="50"/>
        <v>0</v>
      </c>
      <c r="P128" s="106">
        <f t="shared" si="51"/>
        <v>0</v>
      </c>
      <c r="Q128" s="106">
        <f t="shared" si="52"/>
        <v>0</v>
      </c>
      <c r="R128" s="106">
        <f t="shared" si="53"/>
        <v>0</v>
      </c>
      <c r="S128" s="137"/>
      <c r="T128" s="137"/>
      <c r="U128" s="137"/>
    </row>
    <row r="129" spans="1:21" s="2" customFormat="1" ht="280.5" x14ac:dyDescent="0.25">
      <c r="A129" s="148" t="s">
        <v>262</v>
      </c>
      <c r="B129" s="148"/>
      <c r="C129" s="161" t="s">
        <v>279</v>
      </c>
      <c r="D129" s="142" t="s">
        <v>251</v>
      </c>
      <c r="E129" s="142"/>
      <c r="F129" s="152">
        <f>1</f>
        <v>1</v>
      </c>
      <c r="G129" s="152"/>
      <c r="H129" s="152">
        <f t="shared" si="66"/>
        <v>1</v>
      </c>
      <c r="I129" s="150">
        <v>0</v>
      </c>
      <c r="J129" s="144">
        <f>H129*I129</f>
        <v>0</v>
      </c>
      <c r="K129" s="146">
        <v>0</v>
      </c>
      <c r="L129" s="140">
        <f t="shared" si="72"/>
        <v>0</v>
      </c>
      <c r="M129" s="106">
        <f t="shared" si="48"/>
        <v>0</v>
      </c>
      <c r="N129" s="106">
        <f t="shared" si="49"/>
        <v>0</v>
      </c>
      <c r="O129" s="106">
        <f t="shared" si="50"/>
        <v>0</v>
      </c>
      <c r="P129" s="106">
        <f t="shared" si="51"/>
        <v>0</v>
      </c>
      <c r="Q129" s="106">
        <f t="shared" si="52"/>
        <v>0</v>
      </c>
      <c r="R129" s="106">
        <f t="shared" si="53"/>
        <v>0</v>
      </c>
      <c r="S129" s="137"/>
      <c r="T129" s="137"/>
      <c r="U129" s="137"/>
    </row>
    <row r="130" spans="1:21" ht="178.5" x14ac:dyDescent="0.25">
      <c r="A130" s="149"/>
      <c r="B130" s="149"/>
      <c r="C130" s="163" t="s">
        <v>280</v>
      </c>
      <c r="D130" s="143"/>
      <c r="E130" s="143"/>
      <c r="F130" s="153"/>
      <c r="G130" s="153"/>
      <c r="H130" s="153"/>
      <c r="I130" s="151"/>
      <c r="J130" s="145"/>
      <c r="K130" s="147"/>
      <c r="L130" s="141"/>
      <c r="M130" s="106">
        <f t="shared" si="48"/>
        <v>0</v>
      </c>
      <c r="N130" s="106">
        <f t="shared" si="49"/>
        <v>0</v>
      </c>
      <c r="O130" s="106">
        <f t="shared" si="50"/>
        <v>0</v>
      </c>
      <c r="P130" s="106">
        <f t="shared" si="51"/>
        <v>0</v>
      </c>
      <c r="Q130" s="106">
        <f t="shared" si="52"/>
        <v>0</v>
      </c>
      <c r="R130" s="106">
        <f t="shared" si="53"/>
        <v>0</v>
      </c>
      <c r="S130" s="137"/>
      <c r="T130" s="137"/>
      <c r="U130" s="137"/>
    </row>
    <row r="131" spans="1:21" s="27" customFormat="1" ht="140.25" x14ac:dyDescent="0.25">
      <c r="A131" s="74" t="s">
        <v>270</v>
      </c>
      <c r="B131" s="42"/>
      <c r="C131" s="159" t="s">
        <v>165</v>
      </c>
      <c r="D131" s="43" t="s">
        <v>257</v>
      </c>
      <c r="E131" s="28"/>
      <c r="F131" s="31"/>
      <c r="G131" s="31">
        <f>1</f>
        <v>1</v>
      </c>
      <c r="H131" s="31">
        <f t="shared" si="66"/>
        <v>1</v>
      </c>
      <c r="I131" s="119">
        <v>0</v>
      </c>
      <c r="J131" s="29">
        <f t="shared" si="71"/>
        <v>0</v>
      </c>
      <c r="K131" s="119">
        <v>0</v>
      </c>
      <c r="L131" s="29">
        <f t="shared" si="72"/>
        <v>0</v>
      </c>
      <c r="M131" s="106">
        <f t="shared" si="48"/>
        <v>0</v>
      </c>
      <c r="N131" s="106">
        <f t="shared" si="49"/>
        <v>0</v>
      </c>
      <c r="O131" s="106">
        <f t="shared" si="50"/>
        <v>0</v>
      </c>
      <c r="P131" s="106">
        <f t="shared" si="51"/>
        <v>0</v>
      </c>
      <c r="Q131" s="106">
        <f t="shared" si="52"/>
        <v>0</v>
      </c>
      <c r="R131" s="106">
        <f t="shared" si="53"/>
        <v>0</v>
      </c>
      <c r="S131" s="137"/>
      <c r="T131" s="137"/>
      <c r="U131" s="137"/>
    </row>
    <row r="132" spans="1:21" s="2" customFormat="1" ht="280.5" x14ac:dyDescent="0.25">
      <c r="A132" s="41" t="s">
        <v>260</v>
      </c>
      <c r="B132" s="42"/>
      <c r="C132" s="159" t="s">
        <v>281</v>
      </c>
      <c r="D132" s="43" t="s">
        <v>256</v>
      </c>
      <c r="E132" s="43"/>
      <c r="F132" s="86"/>
      <c r="G132" s="86">
        <f>1</f>
        <v>1</v>
      </c>
      <c r="H132" s="86">
        <f t="shared" si="66"/>
        <v>1</v>
      </c>
      <c r="I132" s="119">
        <v>0</v>
      </c>
      <c r="J132" s="40">
        <f t="shared" ref="J132:J133" si="82">H132*I132</f>
        <v>0</v>
      </c>
      <c r="K132" s="119">
        <v>0</v>
      </c>
      <c r="L132" s="29">
        <f t="shared" si="72"/>
        <v>0</v>
      </c>
      <c r="M132" s="106">
        <f t="shared" si="48"/>
        <v>0</v>
      </c>
      <c r="N132" s="106">
        <f t="shared" si="49"/>
        <v>0</v>
      </c>
      <c r="O132" s="106">
        <f t="shared" si="50"/>
        <v>0</v>
      </c>
      <c r="P132" s="106">
        <f t="shared" si="51"/>
        <v>0</v>
      </c>
      <c r="Q132" s="106">
        <f t="shared" si="52"/>
        <v>0</v>
      </c>
      <c r="R132" s="106">
        <f t="shared" si="53"/>
        <v>0</v>
      </c>
      <c r="S132" s="137"/>
      <c r="T132" s="137"/>
      <c r="U132" s="137"/>
    </row>
    <row r="133" spans="1:21" s="2" customFormat="1" ht="136.5" customHeight="1" x14ac:dyDescent="0.25">
      <c r="A133" s="41" t="s">
        <v>261</v>
      </c>
      <c r="B133" s="42"/>
      <c r="C133" s="159" t="s">
        <v>166</v>
      </c>
      <c r="D133" s="43" t="s">
        <v>255</v>
      </c>
      <c r="E133" s="43"/>
      <c r="F133" s="86">
        <f>1</f>
        <v>1</v>
      </c>
      <c r="G133" s="86">
        <f>1+1</f>
        <v>2</v>
      </c>
      <c r="H133" s="86">
        <f t="shared" si="66"/>
        <v>3</v>
      </c>
      <c r="I133" s="119">
        <v>0</v>
      </c>
      <c r="J133" s="40">
        <f t="shared" si="82"/>
        <v>0</v>
      </c>
      <c r="K133" s="119">
        <v>0</v>
      </c>
      <c r="L133" s="29">
        <f t="shared" si="72"/>
        <v>0</v>
      </c>
      <c r="M133" s="106">
        <f t="shared" ref="M133:M141" si="83">E133*I133</f>
        <v>0</v>
      </c>
      <c r="N133" s="106">
        <f t="shared" ref="N133:N141" si="84">E133*K133</f>
        <v>0</v>
      </c>
      <c r="O133" s="106">
        <f t="shared" ref="O133:O141" si="85">F133*I133</f>
        <v>0</v>
      </c>
      <c r="P133" s="106">
        <f t="shared" ref="P133:P141" si="86">F133*K133</f>
        <v>0</v>
      </c>
      <c r="Q133" s="106">
        <f t="shared" ref="Q133:Q141" si="87">G133*I133</f>
        <v>0</v>
      </c>
      <c r="R133" s="106">
        <f t="shared" ref="R133:R141" si="88">G133*K133</f>
        <v>0</v>
      </c>
      <c r="S133" s="137"/>
      <c r="T133" s="137"/>
      <c r="U133" s="137"/>
    </row>
    <row r="134" spans="1:21" s="2" customFormat="1" ht="186" customHeight="1" x14ac:dyDescent="0.25">
      <c r="A134" s="41" t="s">
        <v>283</v>
      </c>
      <c r="B134" s="42"/>
      <c r="C134" s="159" t="s">
        <v>305</v>
      </c>
      <c r="D134" s="43" t="s">
        <v>284</v>
      </c>
      <c r="E134" s="76"/>
      <c r="F134" s="87"/>
      <c r="G134" s="87">
        <v>1</v>
      </c>
      <c r="H134" s="87">
        <f t="shared" si="66"/>
        <v>1</v>
      </c>
      <c r="I134" s="119">
        <v>0</v>
      </c>
      <c r="J134" s="40">
        <f t="shared" ref="J134:J138" si="89">H134*I134</f>
        <v>0</v>
      </c>
      <c r="K134" s="119">
        <v>0</v>
      </c>
      <c r="L134" s="75">
        <f t="shared" si="72"/>
        <v>0</v>
      </c>
      <c r="M134" s="106">
        <f t="shared" si="83"/>
        <v>0</v>
      </c>
      <c r="N134" s="106">
        <f t="shared" si="84"/>
        <v>0</v>
      </c>
      <c r="O134" s="106">
        <f t="shared" si="85"/>
        <v>0</v>
      </c>
      <c r="P134" s="106">
        <f t="shared" si="86"/>
        <v>0</v>
      </c>
      <c r="Q134" s="106">
        <f t="shared" si="87"/>
        <v>0</v>
      </c>
      <c r="R134" s="106">
        <f t="shared" si="88"/>
        <v>0</v>
      </c>
      <c r="S134" s="137"/>
      <c r="T134" s="137"/>
      <c r="U134" s="137"/>
    </row>
    <row r="135" spans="1:21" s="2" customFormat="1" ht="178.5" x14ac:dyDescent="0.25">
      <c r="A135" s="41" t="s">
        <v>285</v>
      </c>
      <c r="B135" s="42"/>
      <c r="C135" s="159" t="s">
        <v>286</v>
      </c>
      <c r="D135" s="43" t="s">
        <v>19</v>
      </c>
      <c r="E135" s="76"/>
      <c r="F135" s="87"/>
      <c r="G135" s="87">
        <v>2</v>
      </c>
      <c r="H135" s="87">
        <f t="shared" si="66"/>
        <v>2</v>
      </c>
      <c r="I135" s="119">
        <v>0</v>
      </c>
      <c r="J135" s="40">
        <f t="shared" si="89"/>
        <v>0</v>
      </c>
      <c r="K135" s="119">
        <v>0</v>
      </c>
      <c r="L135" s="75">
        <f t="shared" si="72"/>
        <v>0</v>
      </c>
      <c r="M135" s="106">
        <f t="shared" si="83"/>
        <v>0</v>
      </c>
      <c r="N135" s="106">
        <f t="shared" si="84"/>
        <v>0</v>
      </c>
      <c r="O135" s="106">
        <f t="shared" si="85"/>
        <v>0</v>
      </c>
      <c r="P135" s="106">
        <f t="shared" si="86"/>
        <v>0</v>
      </c>
      <c r="Q135" s="106">
        <f t="shared" si="87"/>
        <v>0</v>
      </c>
      <c r="R135" s="106">
        <f t="shared" si="88"/>
        <v>0</v>
      </c>
      <c r="S135" s="137"/>
      <c r="T135" s="137"/>
      <c r="U135" s="137"/>
    </row>
    <row r="136" spans="1:21" s="2" customFormat="1" ht="136.5" customHeight="1" x14ac:dyDescent="0.25">
      <c r="A136" s="41" t="s">
        <v>287</v>
      </c>
      <c r="B136" s="42"/>
      <c r="C136" s="159" t="s">
        <v>179</v>
      </c>
      <c r="D136" s="43" t="s">
        <v>288</v>
      </c>
      <c r="E136" s="76"/>
      <c r="F136" s="87"/>
      <c r="G136" s="87">
        <v>2</v>
      </c>
      <c r="H136" s="87">
        <f t="shared" si="66"/>
        <v>2</v>
      </c>
      <c r="I136" s="119">
        <v>0</v>
      </c>
      <c r="J136" s="40">
        <f t="shared" si="89"/>
        <v>0</v>
      </c>
      <c r="K136" s="119">
        <v>0</v>
      </c>
      <c r="L136" s="75">
        <f t="shared" si="72"/>
        <v>0</v>
      </c>
      <c r="M136" s="106">
        <f t="shared" si="83"/>
        <v>0</v>
      </c>
      <c r="N136" s="106">
        <f t="shared" si="84"/>
        <v>0</v>
      </c>
      <c r="O136" s="106">
        <f t="shared" si="85"/>
        <v>0</v>
      </c>
      <c r="P136" s="106">
        <f t="shared" si="86"/>
        <v>0</v>
      </c>
      <c r="Q136" s="106">
        <f t="shared" si="87"/>
        <v>0</v>
      </c>
      <c r="R136" s="106">
        <f t="shared" si="88"/>
        <v>0</v>
      </c>
      <c r="S136" s="137"/>
      <c r="T136" s="137"/>
      <c r="U136" s="137"/>
    </row>
    <row r="137" spans="1:21" s="2" customFormat="1" ht="255" x14ac:dyDescent="0.25">
      <c r="A137" s="41" t="s">
        <v>289</v>
      </c>
      <c r="B137" s="42"/>
      <c r="C137" s="159" t="s">
        <v>290</v>
      </c>
      <c r="D137" s="43" t="s">
        <v>293</v>
      </c>
      <c r="E137" s="76"/>
      <c r="F137" s="87"/>
      <c r="G137" s="87">
        <v>2</v>
      </c>
      <c r="H137" s="87">
        <f t="shared" si="66"/>
        <v>2</v>
      </c>
      <c r="I137" s="119">
        <v>0</v>
      </c>
      <c r="J137" s="40">
        <f t="shared" si="89"/>
        <v>0</v>
      </c>
      <c r="K137" s="119">
        <v>0</v>
      </c>
      <c r="L137" s="75">
        <f t="shared" si="72"/>
        <v>0</v>
      </c>
      <c r="M137" s="106">
        <f t="shared" si="83"/>
        <v>0</v>
      </c>
      <c r="N137" s="106">
        <f t="shared" si="84"/>
        <v>0</v>
      </c>
      <c r="O137" s="106">
        <f t="shared" si="85"/>
        <v>0</v>
      </c>
      <c r="P137" s="106">
        <f t="shared" si="86"/>
        <v>0</v>
      </c>
      <c r="Q137" s="106">
        <f t="shared" si="87"/>
        <v>0</v>
      </c>
      <c r="R137" s="106">
        <f t="shared" si="88"/>
        <v>0</v>
      </c>
      <c r="S137" s="137"/>
      <c r="T137" s="137"/>
      <c r="U137" s="137"/>
    </row>
    <row r="138" spans="1:21" s="2" customFormat="1" ht="204" x14ac:dyDescent="0.25">
      <c r="A138" s="41" t="s">
        <v>291</v>
      </c>
      <c r="B138" s="42"/>
      <c r="C138" s="159" t="s">
        <v>292</v>
      </c>
      <c r="D138" s="43" t="s">
        <v>294</v>
      </c>
      <c r="E138" s="76"/>
      <c r="F138" s="87"/>
      <c r="G138" s="87">
        <v>1</v>
      </c>
      <c r="H138" s="87">
        <f t="shared" si="66"/>
        <v>1</v>
      </c>
      <c r="I138" s="119">
        <v>0</v>
      </c>
      <c r="J138" s="40">
        <f t="shared" si="89"/>
        <v>0</v>
      </c>
      <c r="K138" s="119">
        <v>0</v>
      </c>
      <c r="L138" s="75">
        <f t="shared" si="72"/>
        <v>0</v>
      </c>
      <c r="M138" s="106">
        <f t="shared" si="83"/>
        <v>0</v>
      </c>
      <c r="N138" s="106">
        <f t="shared" si="84"/>
        <v>0</v>
      </c>
      <c r="O138" s="106">
        <f t="shared" si="85"/>
        <v>0</v>
      </c>
      <c r="P138" s="106">
        <f t="shared" si="86"/>
        <v>0</v>
      </c>
      <c r="Q138" s="106">
        <f t="shared" si="87"/>
        <v>0</v>
      </c>
      <c r="R138" s="106">
        <f t="shared" si="88"/>
        <v>0</v>
      </c>
      <c r="S138" s="137"/>
      <c r="T138" s="137"/>
      <c r="U138" s="137"/>
    </row>
    <row r="139" spans="1:21" s="6" customFormat="1" ht="97.5" customHeight="1" x14ac:dyDescent="0.25">
      <c r="A139" s="33" t="s">
        <v>303</v>
      </c>
      <c r="B139" s="33"/>
      <c r="C139" s="3" t="s">
        <v>105</v>
      </c>
      <c r="D139" s="34" t="s">
        <v>254</v>
      </c>
      <c r="E139" s="35">
        <f>1+10+10+10</f>
        <v>31</v>
      </c>
      <c r="F139" s="35">
        <f>18+17+24+22+3</f>
        <v>84</v>
      </c>
      <c r="G139" s="35">
        <f>2+22+23+22+2</f>
        <v>71</v>
      </c>
      <c r="H139" s="35">
        <f t="shared" si="66"/>
        <v>186</v>
      </c>
      <c r="I139" s="119">
        <v>0</v>
      </c>
      <c r="J139" s="29">
        <f t="shared" si="71"/>
        <v>0</v>
      </c>
      <c r="K139" s="119">
        <v>0</v>
      </c>
      <c r="L139" s="29">
        <f t="shared" si="72"/>
        <v>0</v>
      </c>
      <c r="M139" s="106">
        <f t="shared" si="83"/>
        <v>0</v>
      </c>
      <c r="N139" s="106">
        <f t="shared" si="84"/>
        <v>0</v>
      </c>
      <c r="O139" s="106">
        <f t="shared" si="85"/>
        <v>0</v>
      </c>
      <c r="P139" s="106">
        <f t="shared" si="86"/>
        <v>0</v>
      </c>
      <c r="Q139" s="106">
        <f t="shared" si="87"/>
        <v>0</v>
      </c>
      <c r="R139" s="106">
        <f t="shared" si="88"/>
        <v>0</v>
      </c>
      <c r="S139" s="137"/>
      <c r="T139" s="137"/>
      <c r="U139" s="137"/>
    </row>
    <row r="140" spans="1:21" s="6" customFormat="1" ht="51.75" customHeight="1" x14ac:dyDescent="0.25">
      <c r="A140" s="33" t="s">
        <v>304</v>
      </c>
      <c r="B140" s="33"/>
      <c r="C140" s="3" t="s">
        <v>203</v>
      </c>
      <c r="D140" s="34" t="s">
        <v>253</v>
      </c>
      <c r="E140" s="35">
        <f>11+2+2+2</f>
        <v>17</v>
      </c>
      <c r="F140" s="35">
        <f>15+4+6+6+3</f>
        <v>34</v>
      </c>
      <c r="G140" s="35">
        <f>3+3+2+5</f>
        <v>13</v>
      </c>
      <c r="H140" s="35">
        <f t="shared" si="66"/>
        <v>64</v>
      </c>
      <c r="I140" s="119">
        <v>0</v>
      </c>
      <c r="J140" s="29">
        <f t="shared" si="71"/>
        <v>0</v>
      </c>
      <c r="K140" s="119">
        <v>0</v>
      </c>
      <c r="L140" s="29">
        <f t="shared" si="72"/>
        <v>0</v>
      </c>
      <c r="M140" s="106">
        <f t="shared" si="83"/>
        <v>0</v>
      </c>
      <c r="N140" s="106">
        <f t="shared" si="84"/>
        <v>0</v>
      </c>
      <c r="O140" s="106">
        <f t="shared" si="85"/>
        <v>0</v>
      </c>
      <c r="P140" s="106">
        <f t="shared" si="86"/>
        <v>0</v>
      </c>
      <c r="Q140" s="106">
        <f t="shared" si="87"/>
        <v>0</v>
      </c>
      <c r="R140" s="106">
        <f t="shared" si="88"/>
        <v>0</v>
      </c>
      <c r="S140" s="137"/>
      <c r="T140" s="137"/>
      <c r="U140" s="137"/>
    </row>
    <row r="141" spans="1:21" s="6" customFormat="1" ht="46.9" customHeight="1" x14ac:dyDescent="0.25">
      <c r="A141" s="15" t="s">
        <v>186</v>
      </c>
      <c r="B141" s="33"/>
      <c r="C141" s="3" t="s">
        <v>9</v>
      </c>
      <c r="D141" s="34" t="s">
        <v>252</v>
      </c>
      <c r="E141" s="35"/>
      <c r="F141" s="35">
        <f>2+2+2</f>
        <v>6</v>
      </c>
      <c r="G141" s="35"/>
      <c r="H141" s="35">
        <f t="shared" si="66"/>
        <v>6</v>
      </c>
      <c r="I141" s="119">
        <v>0</v>
      </c>
      <c r="J141" s="29">
        <f t="shared" si="71"/>
        <v>0</v>
      </c>
      <c r="K141" s="119">
        <v>0</v>
      </c>
      <c r="L141" s="29">
        <f t="shared" si="72"/>
        <v>0</v>
      </c>
      <c r="M141" s="106">
        <f t="shared" si="83"/>
        <v>0</v>
      </c>
      <c r="N141" s="106">
        <f t="shared" si="84"/>
        <v>0</v>
      </c>
      <c r="O141" s="106">
        <f t="shared" si="85"/>
        <v>0</v>
      </c>
      <c r="P141" s="106">
        <f t="shared" si="86"/>
        <v>0</v>
      </c>
      <c r="Q141" s="106">
        <f t="shared" si="87"/>
        <v>0</v>
      </c>
      <c r="R141" s="106">
        <f t="shared" si="88"/>
        <v>0</v>
      </c>
      <c r="S141" s="137"/>
      <c r="T141" s="137"/>
      <c r="U141" s="137"/>
    </row>
    <row r="142" spans="1:21" s="6" customFormat="1" ht="4.5" customHeight="1" x14ac:dyDescent="0.25">
      <c r="A142" s="15"/>
      <c r="B142" s="15"/>
      <c r="C142" s="26"/>
      <c r="D142" s="16"/>
      <c r="E142" s="11"/>
      <c r="F142" s="11"/>
      <c r="G142" s="11"/>
      <c r="H142" s="11"/>
      <c r="I142" s="10"/>
      <c r="J142" s="10"/>
      <c r="K142" s="10"/>
      <c r="L142" s="10"/>
      <c r="M142" s="107"/>
      <c r="N142" s="107"/>
      <c r="O142" s="107"/>
      <c r="P142" s="107"/>
      <c r="Q142" s="107"/>
      <c r="R142" s="107"/>
      <c r="S142" s="1"/>
      <c r="T142" s="1"/>
      <c r="U142" s="1"/>
    </row>
    <row r="143" spans="1:21" s="94" customFormat="1" ht="4.5" customHeight="1" x14ac:dyDescent="0.25">
      <c r="A143" s="111"/>
      <c r="B143" s="111"/>
      <c r="C143" s="112"/>
      <c r="D143" s="113"/>
      <c r="E143" s="114"/>
      <c r="F143" s="114"/>
      <c r="G143" s="114"/>
      <c r="H143" s="114"/>
      <c r="I143" s="91"/>
      <c r="J143" s="120"/>
      <c r="K143" s="91"/>
      <c r="L143" s="91"/>
      <c r="M143" s="107"/>
      <c r="N143" s="107"/>
      <c r="O143" s="107"/>
      <c r="P143" s="107"/>
      <c r="Q143" s="107"/>
      <c r="R143" s="107"/>
      <c r="S143" s="92"/>
      <c r="T143" s="92"/>
      <c r="U143" s="92"/>
    </row>
    <row r="144" spans="1:21" s="93" customFormat="1" ht="12.75" x14ac:dyDescent="0.2">
      <c r="A144" s="122" t="s">
        <v>328</v>
      </c>
      <c r="B144" s="122"/>
      <c r="C144" s="164"/>
      <c r="D144" s="123">
        <f>SUM(M4:M142)</f>
        <v>0</v>
      </c>
      <c r="E144" s="102"/>
      <c r="F144" s="88"/>
      <c r="G144" s="88"/>
      <c r="H144" s="88"/>
      <c r="I144" s="95"/>
      <c r="J144" s="121"/>
      <c r="K144" s="91"/>
      <c r="L144" s="91"/>
      <c r="M144" s="107"/>
      <c r="N144" s="107"/>
      <c r="O144" s="107"/>
      <c r="P144" s="107"/>
      <c r="Q144" s="107"/>
      <c r="R144" s="107"/>
    </row>
    <row r="145" spans="1:18" s="93" customFormat="1" ht="12.75" x14ac:dyDescent="0.2">
      <c r="A145" s="122" t="s">
        <v>329</v>
      </c>
      <c r="B145" s="122"/>
      <c r="C145" s="164"/>
      <c r="D145" s="123">
        <f>SUM(N4:N159)</f>
        <v>0</v>
      </c>
      <c r="E145" s="102"/>
      <c r="F145" s="88"/>
      <c r="G145" s="88"/>
      <c r="H145" s="88"/>
      <c r="I145" s="95"/>
      <c r="J145" s="121"/>
      <c r="K145" s="91"/>
      <c r="L145" s="91"/>
      <c r="M145" s="107"/>
      <c r="N145" s="107"/>
      <c r="O145" s="107"/>
      <c r="P145" s="107"/>
      <c r="Q145" s="107"/>
      <c r="R145" s="107"/>
    </row>
    <row r="146" spans="1:18" s="93" customFormat="1" ht="12.75" x14ac:dyDescent="0.2">
      <c r="A146" s="122" t="s">
        <v>330</v>
      </c>
      <c r="B146" s="122"/>
      <c r="C146" s="164"/>
      <c r="D146" s="124">
        <v>0</v>
      </c>
      <c r="E146" s="102"/>
      <c r="F146" s="88"/>
      <c r="G146" s="88"/>
      <c r="H146" s="88"/>
      <c r="I146" s="132" t="s">
        <v>332</v>
      </c>
      <c r="J146" s="133"/>
      <c r="K146" s="134"/>
      <c r="L146" s="91"/>
      <c r="M146" s="107"/>
      <c r="N146" s="107"/>
      <c r="O146" s="107"/>
      <c r="P146" s="107"/>
      <c r="Q146" s="107"/>
      <c r="R146" s="107"/>
    </row>
    <row r="147" spans="1:18" s="93" customFormat="1" ht="12.75" x14ac:dyDescent="0.2">
      <c r="A147" s="125" t="s">
        <v>331</v>
      </c>
      <c r="B147" s="122"/>
      <c r="C147" s="164"/>
      <c r="D147" s="126">
        <f>SUM(D144:D146)</f>
        <v>0</v>
      </c>
      <c r="E147" s="102"/>
      <c r="F147" s="88"/>
      <c r="G147" s="88"/>
      <c r="H147" s="88"/>
      <c r="I147" s="95"/>
      <c r="J147" s="121"/>
      <c r="K147" s="91"/>
      <c r="L147" s="91"/>
      <c r="M147" s="107"/>
      <c r="N147" s="107"/>
      <c r="O147" s="107"/>
      <c r="P147" s="107"/>
      <c r="Q147" s="107"/>
      <c r="R147" s="107"/>
    </row>
    <row r="148" spans="1:18" s="93" customFormat="1" ht="12.75" x14ac:dyDescent="0.2">
      <c r="A148" s="122"/>
      <c r="B148" s="122"/>
      <c r="C148" s="164"/>
      <c r="D148" s="127"/>
      <c r="E148" s="102"/>
      <c r="F148" s="88"/>
      <c r="G148" s="88"/>
      <c r="H148" s="88"/>
      <c r="I148" s="95"/>
      <c r="J148" s="121"/>
      <c r="K148" s="91"/>
      <c r="L148" s="91"/>
      <c r="M148" s="107"/>
      <c r="N148" s="107"/>
      <c r="O148" s="107"/>
      <c r="P148" s="107"/>
      <c r="Q148" s="107"/>
      <c r="R148" s="107"/>
    </row>
    <row r="149" spans="1:18" s="93" customFormat="1" ht="12.75" x14ac:dyDescent="0.2">
      <c r="A149" s="122" t="s">
        <v>358</v>
      </c>
      <c r="B149" s="122"/>
      <c r="C149" s="164"/>
      <c r="D149" s="123">
        <f>SUM(O4:O142)</f>
        <v>0</v>
      </c>
      <c r="E149" s="102"/>
      <c r="F149" s="88"/>
      <c r="G149" s="88"/>
      <c r="H149" s="88"/>
      <c r="I149" s="95"/>
      <c r="J149" s="121"/>
      <c r="K149" s="91"/>
      <c r="L149" s="91"/>
      <c r="M149" s="107"/>
      <c r="N149" s="107"/>
      <c r="O149" s="107"/>
      <c r="P149" s="107"/>
      <c r="Q149" s="107"/>
      <c r="R149" s="107"/>
    </row>
    <row r="150" spans="1:18" s="93" customFormat="1" ht="12.75" x14ac:dyDescent="0.2">
      <c r="A150" s="122" t="s">
        <v>360</v>
      </c>
      <c r="B150" s="122"/>
      <c r="C150" s="164"/>
      <c r="D150" s="123">
        <f>SUM(P4:P159)</f>
        <v>0</v>
      </c>
      <c r="E150" s="102"/>
      <c r="F150" s="88"/>
      <c r="G150" s="88"/>
      <c r="H150" s="88"/>
      <c r="I150" s="95"/>
      <c r="J150" s="121"/>
      <c r="K150" s="91"/>
      <c r="L150" s="91"/>
      <c r="M150" s="107"/>
      <c r="N150" s="107"/>
      <c r="O150" s="107"/>
      <c r="P150" s="107"/>
      <c r="Q150" s="107"/>
      <c r="R150" s="107"/>
    </row>
    <row r="151" spans="1:18" s="93" customFormat="1" ht="12.75" x14ac:dyDescent="0.2">
      <c r="A151" s="122" t="s">
        <v>361</v>
      </c>
      <c r="B151" s="122"/>
      <c r="C151" s="164"/>
      <c r="D151" s="124">
        <v>0</v>
      </c>
      <c r="E151" s="102"/>
      <c r="F151" s="88"/>
      <c r="G151" s="88"/>
      <c r="H151" s="88"/>
      <c r="I151" s="95"/>
      <c r="J151" s="121"/>
      <c r="K151" s="91"/>
      <c r="L151" s="91"/>
      <c r="M151" s="107"/>
      <c r="N151" s="107"/>
      <c r="O151" s="107"/>
      <c r="P151" s="107"/>
      <c r="Q151" s="107"/>
      <c r="R151" s="107"/>
    </row>
    <row r="152" spans="1:18" s="93" customFormat="1" ht="12.75" x14ac:dyDescent="0.2">
      <c r="A152" s="125" t="s">
        <v>359</v>
      </c>
      <c r="B152" s="122"/>
      <c r="C152" s="164"/>
      <c r="D152" s="126">
        <f>SUM(D149:D151)</f>
        <v>0</v>
      </c>
      <c r="E152" s="102"/>
      <c r="F152" s="88"/>
      <c r="G152" s="88"/>
      <c r="H152" s="88"/>
      <c r="I152" s="95"/>
      <c r="J152" s="121"/>
      <c r="K152" s="91"/>
      <c r="L152" s="91"/>
      <c r="M152" s="107"/>
      <c r="N152" s="107"/>
      <c r="O152" s="107"/>
      <c r="P152" s="107"/>
      <c r="Q152" s="107"/>
      <c r="R152" s="107"/>
    </row>
    <row r="153" spans="1:18" s="93" customFormat="1" ht="12.75" x14ac:dyDescent="0.2">
      <c r="A153" s="122"/>
      <c r="B153" s="122"/>
      <c r="C153" s="164"/>
      <c r="D153" s="127"/>
      <c r="E153" s="102"/>
      <c r="F153" s="88"/>
      <c r="G153" s="88"/>
      <c r="H153" s="88"/>
      <c r="I153" s="95"/>
      <c r="J153" s="121"/>
      <c r="K153" s="91"/>
      <c r="L153" s="91"/>
      <c r="M153" s="107"/>
      <c r="N153" s="107"/>
      <c r="O153" s="107"/>
      <c r="P153" s="107"/>
      <c r="Q153" s="107"/>
      <c r="R153" s="107"/>
    </row>
    <row r="154" spans="1:18" s="93" customFormat="1" ht="12.75" x14ac:dyDescent="0.2">
      <c r="A154" s="122" t="s">
        <v>362</v>
      </c>
      <c r="B154" s="122"/>
      <c r="C154" s="164"/>
      <c r="D154" s="123">
        <f>SUM(Q4:Q142)</f>
        <v>0</v>
      </c>
      <c r="E154" s="102"/>
      <c r="F154" s="88"/>
      <c r="G154" s="88"/>
      <c r="H154" s="88"/>
      <c r="I154" s="95"/>
      <c r="J154" s="121"/>
      <c r="K154" s="91"/>
      <c r="L154" s="91"/>
      <c r="M154" s="107"/>
      <c r="N154" s="107"/>
      <c r="O154" s="107"/>
      <c r="P154" s="107"/>
      <c r="Q154" s="107"/>
      <c r="R154" s="107"/>
    </row>
    <row r="155" spans="1:18" s="93" customFormat="1" ht="12.75" x14ac:dyDescent="0.2">
      <c r="A155" s="122" t="s">
        <v>363</v>
      </c>
      <c r="B155" s="122"/>
      <c r="C155" s="164"/>
      <c r="D155" s="123">
        <f>SUM(R4:R159)</f>
        <v>0</v>
      </c>
      <c r="E155" s="102"/>
      <c r="F155" s="88"/>
      <c r="G155" s="88"/>
      <c r="H155" s="88"/>
      <c r="I155" s="95"/>
      <c r="J155" s="121"/>
      <c r="K155" s="91"/>
      <c r="L155" s="91"/>
      <c r="M155" s="107"/>
      <c r="N155" s="107"/>
      <c r="O155" s="107"/>
      <c r="P155" s="107"/>
      <c r="Q155" s="107"/>
      <c r="R155" s="107"/>
    </row>
    <row r="156" spans="1:18" s="93" customFormat="1" ht="12.75" x14ac:dyDescent="0.2">
      <c r="A156" s="122" t="s">
        <v>364</v>
      </c>
      <c r="B156" s="122"/>
      <c r="C156" s="164"/>
      <c r="D156" s="124">
        <v>0</v>
      </c>
      <c r="E156" s="102"/>
      <c r="F156" s="88"/>
      <c r="G156" s="88"/>
      <c r="H156" s="88"/>
      <c r="I156" s="95"/>
      <c r="J156" s="121"/>
      <c r="K156" s="91"/>
      <c r="L156" s="91"/>
      <c r="M156" s="107"/>
      <c r="N156" s="107"/>
      <c r="O156" s="107"/>
      <c r="P156" s="107"/>
      <c r="Q156" s="107"/>
      <c r="R156" s="107"/>
    </row>
    <row r="157" spans="1:18" s="93" customFormat="1" ht="12.75" x14ac:dyDescent="0.2">
      <c r="A157" s="125" t="s">
        <v>365</v>
      </c>
      <c r="B157" s="122"/>
      <c r="C157" s="164"/>
      <c r="D157" s="126">
        <f>SUM(D154:D156)</f>
        <v>0</v>
      </c>
      <c r="E157" s="102"/>
      <c r="F157" s="88"/>
      <c r="G157" s="88"/>
      <c r="H157" s="88"/>
      <c r="I157" s="95"/>
      <c r="J157" s="121"/>
      <c r="K157" s="91"/>
      <c r="L157" s="91"/>
      <c r="M157" s="107"/>
      <c r="N157" s="107"/>
      <c r="O157" s="107"/>
      <c r="P157" s="107"/>
      <c r="Q157" s="107"/>
      <c r="R157" s="107"/>
    </row>
    <row r="158" spans="1:18" s="93" customFormat="1" ht="20.25" customHeight="1" x14ac:dyDescent="0.2">
      <c r="A158" s="115"/>
      <c r="B158" s="116"/>
      <c r="C158" s="165"/>
      <c r="D158" s="117"/>
      <c r="E158" s="102"/>
      <c r="F158" s="88"/>
      <c r="G158" s="88"/>
      <c r="H158" s="88"/>
      <c r="I158" s="95"/>
      <c r="J158" s="121"/>
      <c r="K158" s="91"/>
      <c r="L158" s="91"/>
      <c r="M158" s="107"/>
      <c r="N158" s="107"/>
      <c r="O158" s="107"/>
      <c r="P158" s="107"/>
      <c r="Q158" s="107"/>
      <c r="R158" s="107"/>
    </row>
    <row r="159" spans="1:18" x14ac:dyDescent="0.25">
      <c r="A159" s="97" t="s">
        <v>325</v>
      </c>
      <c r="B159" s="98"/>
      <c r="C159" s="166"/>
      <c r="D159" s="99"/>
      <c r="E159" s="128"/>
      <c r="F159" s="129"/>
      <c r="G159" s="129"/>
      <c r="H159" s="129"/>
      <c r="I159" s="130"/>
      <c r="J159" s="131"/>
      <c r="K159" s="96"/>
      <c r="L159" s="100">
        <f>SUM(J4:J141)</f>
        <v>0</v>
      </c>
      <c r="M159" s="1"/>
      <c r="N159" s="107"/>
      <c r="O159" s="1"/>
      <c r="P159" s="107"/>
      <c r="Q159" s="1"/>
      <c r="R159" s="107"/>
    </row>
    <row r="160" spans="1:18" x14ac:dyDescent="0.25">
      <c r="A160" s="97" t="s">
        <v>326</v>
      </c>
      <c r="B160" s="18"/>
      <c r="C160" s="166"/>
      <c r="D160" s="19"/>
      <c r="E160" s="19"/>
      <c r="F160" s="89"/>
      <c r="G160" s="89"/>
      <c r="H160" s="89"/>
      <c r="I160" s="19"/>
      <c r="J160" s="19"/>
      <c r="K160" s="19"/>
      <c r="L160" s="20">
        <f>SUM(L4:L141)</f>
        <v>0</v>
      </c>
      <c r="M160" s="107"/>
      <c r="N160" s="1"/>
      <c r="O160" s="107"/>
      <c r="P160" s="1"/>
      <c r="Q160" s="107"/>
      <c r="R160" s="1"/>
    </row>
    <row r="161" spans="1:18" x14ac:dyDescent="0.25">
      <c r="A161" s="97" t="s">
        <v>327</v>
      </c>
      <c r="B161" s="21"/>
      <c r="C161" s="167"/>
      <c r="D161" s="19"/>
      <c r="E161" s="19"/>
      <c r="F161" s="89"/>
      <c r="G161" s="89"/>
      <c r="H161" s="89"/>
      <c r="I161" s="19"/>
      <c r="J161" s="19"/>
      <c r="K161" s="19"/>
      <c r="L161" s="20">
        <f>D146+D151+D156</f>
        <v>0</v>
      </c>
      <c r="M161" s="108"/>
      <c r="N161" s="108"/>
      <c r="O161" s="108"/>
      <c r="P161" s="108"/>
      <c r="Q161" s="108"/>
      <c r="R161" s="108"/>
    </row>
    <row r="162" spans="1:18" ht="15.75" thickBot="1" x14ac:dyDescent="0.3">
      <c r="A162" s="101" t="s">
        <v>318</v>
      </c>
      <c r="B162" s="22"/>
      <c r="C162" s="168"/>
      <c r="D162" s="23"/>
      <c r="E162" s="23"/>
      <c r="F162" s="90"/>
      <c r="G162" s="90"/>
      <c r="H162" s="90"/>
      <c r="I162" s="23"/>
      <c r="J162" s="23"/>
      <c r="K162" s="23"/>
      <c r="L162" s="24">
        <f>L159+L160+L161</f>
        <v>0</v>
      </c>
      <c r="M162" s="109"/>
      <c r="N162" s="109"/>
      <c r="O162" s="109"/>
      <c r="P162" s="109"/>
      <c r="Q162" s="109"/>
      <c r="R162" s="109"/>
    </row>
    <row r="164" spans="1:18" x14ac:dyDescent="0.25">
      <c r="L164" s="57"/>
      <c r="M164" s="110"/>
      <c r="N164" s="110"/>
      <c r="O164" s="110"/>
      <c r="P164" s="110"/>
      <c r="Q164" s="110"/>
      <c r="R164" s="110"/>
    </row>
    <row r="165" spans="1:18" x14ac:dyDescent="0.25">
      <c r="L165" s="57"/>
      <c r="M165" s="110"/>
      <c r="N165" s="110"/>
      <c r="O165" s="110"/>
      <c r="P165" s="110"/>
      <c r="Q165" s="110"/>
      <c r="R165" s="110"/>
    </row>
    <row r="166" spans="1:18" x14ac:dyDescent="0.25">
      <c r="L166" s="57"/>
      <c r="M166" s="110"/>
      <c r="N166" s="110"/>
      <c r="O166" s="110"/>
      <c r="P166" s="110"/>
      <c r="Q166" s="110"/>
      <c r="R166" s="110"/>
    </row>
  </sheetData>
  <mergeCells count="22">
    <mergeCell ref="A127:A128"/>
    <mergeCell ref="B129:B130"/>
    <mergeCell ref="D129:D130"/>
    <mergeCell ref="I129:I130"/>
    <mergeCell ref="E129:E130"/>
    <mergeCell ref="F129:F130"/>
    <mergeCell ref="G129:G130"/>
    <mergeCell ref="H129:H130"/>
    <mergeCell ref="A129:A130"/>
    <mergeCell ref="B127:B128"/>
    <mergeCell ref="I127:I128"/>
    <mergeCell ref="E127:E128"/>
    <mergeCell ref="F127:F128"/>
    <mergeCell ref="G127:G128"/>
    <mergeCell ref="H127:H128"/>
    <mergeCell ref="L129:L130"/>
    <mergeCell ref="L127:L128"/>
    <mergeCell ref="D127:D128"/>
    <mergeCell ref="J129:J130"/>
    <mergeCell ref="K129:K130"/>
    <mergeCell ref="K127:K128"/>
    <mergeCell ref="J127:J128"/>
  </mergeCells>
  <phoneticPr fontId="12" type="noConversion"/>
  <pageMargins left="0.46" right="0.42" top="0.27" bottom="0.2" header="0.26" footer="0.2"/>
  <pageSetup paperSize="9" scale="45" fitToHeight="0" orientation="landscape" verticalDpi="300" r:id="rId1"/>
  <ignoredErrors>
    <ignoredError sqref="H22 H80 F54 G105 H49 F50 F24"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93A698-2CD3-46C9-B6B7-F1D0091B2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D15A42-E3B2-4C6D-B17A-303A06BF5A1D}">
  <ds:schemaRefs>
    <ds:schemaRef ds:uri="http://schemas.microsoft.com/office/2006/metadata/properties"/>
    <ds:schemaRef ds:uri="http://schemas.microsoft.com/office/2006/documentManagement/types"/>
    <ds:schemaRef ds:uri="http://purl.org/dc/elements/1.1/"/>
    <ds:schemaRef ds:uri="4e2797a0-1766-41ad-be59-caaf307804e4"/>
    <ds:schemaRef ds:uri="http://www.w3.org/XML/1998/namespace"/>
    <ds:schemaRef ds:uri="http://purl.org/dc/terms/"/>
    <ds:schemaRef ds:uri="http://schemas.microsoft.com/office/infopath/2007/PartnerControls"/>
    <ds:schemaRef ds:uri="http://schemas.openxmlformats.org/package/2006/metadata/core-properties"/>
    <ds:schemaRef ds:uri="5330c55d-c059-4878-b03e-386dab4640e9"/>
    <ds:schemaRef ds:uri="http://purl.org/dc/dcmitype/"/>
  </ds:schemaRefs>
</ds:datastoreItem>
</file>

<file path=customXml/itemProps3.xml><?xml version="1.0" encoding="utf-8"?>
<ds:datastoreItem xmlns:ds="http://schemas.openxmlformats.org/officeDocument/2006/customXml" ds:itemID="{7C57E22A-6ED1-4D87-96D4-AB132F6112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List1</vt:lpstr>
      <vt:lpstr>List1!Názvy_tisku</vt:lpstr>
      <vt:lpstr>List1!Oblast_tisku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2020-01-28T14:07:27Z</dcterms:created>
  <dcterms:modified xsi:type="dcterms:W3CDTF">2022-05-04T14:30:13Z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