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Cache/pivotCacheRecords22.xml" ContentType="application/vnd.openxmlformats-officedocument.spreadsheetml.pivotCacheRecords+xml"/>
  <Override PartName="/xl/pivotCache/pivotCacheDefinition23.xml" ContentType="application/vnd.openxmlformats-officedocument.spreadsheetml.pivotCacheDefinition+xml"/>
  <Override PartName="/xl/pivotCache/pivotCacheRecords23.xml" ContentType="application/vnd.openxmlformats-officedocument.spreadsheetml.pivotCacheRecords+xml"/>
  <Override PartName="/xl/pivotCache/pivotCacheDefinition24.xml" ContentType="application/vnd.openxmlformats-officedocument.spreadsheetml.pivotCacheDefinition+xml"/>
  <Override PartName="/xl/pivotCache/pivotCacheRecords24.xml" ContentType="application/vnd.openxmlformats-officedocument.spreadsheetml.pivotCacheRecords+xml"/>
  <Override PartName="/xl/pivotCache/pivotCacheDefinition25.xml" ContentType="application/vnd.openxmlformats-officedocument.spreadsheetml.pivotCacheDefinition+xml"/>
  <Override PartName="/xl/pivotCache/pivotCacheRecords25.xml" ContentType="application/vnd.openxmlformats-officedocument.spreadsheetml.pivotCacheRecords+xml"/>
  <Override PartName="/xl/pivotCache/pivotCacheDefinition26.xml" ContentType="application/vnd.openxmlformats-officedocument.spreadsheetml.pivotCacheDefinition+xml"/>
  <Override PartName="/xl/pivotCache/pivotCacheRecords26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490_18_Úklid FAPPZ+TF/"/>
    </mc:Choice>
  </mc:AlternateContent>
  <xr:revisionPtr revIDLastSave="16" documentId="8_{48974DE0-663B-4268-8E7A-21DC4A325791}" xr6:coauthVersionLast="47" xr6:coauthVersionMax="47" xr10:uidLastSave="{09E83ADC-4DE3-46DA-B0FD-E1D79CD66649}"/>
  <bookViews>
    <workbookView xWindow="-38520" yWindow="-120" windowWidth="38640" windowHeight="21120" activeTab="2" xr2:uid="{00000000-000D-0000-FFFF-FFFF00000000}"/>
  </bookViews>
  <sheets>
    <sheet name="Celkový souhrn" sheetId="19" r:id="rId1"/>
    <sheet name="FAPPZ-komplet" sheetId="9" r:id="rId2"/>
    <sheet name="TF-komplet" sheetId="18" r:id="rId3"/>
    <sheet name="KH 1pp_bez úklidu" sheetId="10" state="hidden" r:id="rId4"/>
    <sheet name="KH 1 np" sheetId="11" r:id="rId5"/>
    <sheet name="TF 1pp" sheetId="12" r:id="rId6"/>
    <sheet name="TF 1np" sheetId="13" r:id="rId7"/>
    <sheet name="TF 2np" sheetId="14" r:id="rId8"/>
    <sheet name="TF 3np" sheetId="15" r:id="rId9"/>
    <sheet name="Dílny 1np" sheetId="16" r:id="rId10"/>
    <sheet name="Dílny 2np" sheetId="17" r:id="rId11"/>
    <sheet name="Kalkulační model, ver.1" sheetId="8" state="hidden" r:id="rId12"/>
    <sheet name="Místn. FAPPZ_A" sheetId="1" r:id="rId13"/>
    <sheet name="Místn. FAPPZ_B" sheetId="2" r:id="rId14"/>
    <sheet name="Místn. FAPPZ_C" sheetId="3" r:id="rId15"/>
    <sheet name="Místn. FAPPZ_CVCHP" sheetId="4" r:id="rId16"/>
    <sheet name="Místn. FAPPZ_meteostanice" sheetId="5" r:id="rId17"/>
    <sheet name="Místn. FAPPZ_skleníky" sheetId="6" r:id="rId18"/>
    <sheet name="Místn. FAPPZ_stáje" sheetId="7" r:id="rId19"/>
  </sheets>
  <definedNames>
    <definedName name="_xlnm._FilterDatabase" localSheetId="6" hidden="1">'TF 1np'!$A$2:$J$2</definedName>
    <definedName name="AF_1np" localSheetId="12">'Místn. FAPPZ_A'!$A$294:$B$397</definedName>
    <definedName name="AF_1pp.dwg" localSheetId="12">'Místn. FAPPZ_A'!$A$294:$B$379</definedName>
    <definedName name="AF_1pp_1" localSheetId="12">'Místn. FAPPZ_A'!$A$402:$B$487</definedName>
    <definedName name="AF_2np.dwg" localSheetId="12">'Místn. FAPPZ_A'!$A$221:$B$289</definedName>
    <definedName name="AF_3np.dwg" localSheetId="12">'Místn. FAPPZ_A'!$A$147:$B$216</definedName>
    <definedName name="AF_4np" localSheetId="12">'Místn. FAPPZ_A'!$A$72:$B$142</definedName>
    <definedName name="AF_5np.dwg" localSheetId="12">'Místn. FAPPZ_A'!$A$3:$B$67</definedName>
    <definedName name="AF_strecha.dwg" localSheetId="12">'Místn. FAPPZ_A'!$A$492:$B$497</definedName>
    <definedName name="hl_bud_1pp1.dwg" localSheetId="5">'TF 1pp'!$A$4:$B$18</definedName>
    <definedName name="hl_bud_1pp2.dwg" localSheetId="5">'TF 1pp'!$A$19:$B$40</definedName>
    <definedName name="hl_bud_1pp3.dwg" localSheetId="5">'TF 1pp'!$A$41:$B$61</definedName>
  </definedNames>
  <calcPr calcId="191028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  <pivotCache cacheId="6" r:id="rId26"/>
    <pivotCache cacheId="7" r:id="rId27"/>
    <pivotCache cacheId="8" r:id="rId28"/>
    <pivotCache cacheId="9" r:id="rId29"/>
    <pivotCache cacheId="10" r:id="rId30"/>
    <pivotCache cacheId="11" r:id="rId31"/>
    <pivotCache cacheId="12" r:id="rId32"/>
    <pivotCache cacheId="13" r:id="rId33"/>
    <pivotCache cacheId="14" r:id="rId34"/>
    <pivotCache cacheId="15" r:id="rId35"/>
    <pivotCache cacheId="16" r:id="rId36"/>
    <pivotCache cacheId="17" r:id="rId37"/>
    <pivotCache cacheId="18" r:id="rId38"/>
    <pivotCache cacheId="19" r:id="rId39"/>
    <pivotCache cacheId="20" r:id="rId40"/>
    <pivotCache cacheId="21" r:id="rId41"/>
    <pivotCache cacheId="22" r:id="rId42"/>
    <pivotCache cacheId="23" r:id="rId43"/>
    <pivotCache cacheId="24" r:id="rId44"/>
    <pivotCache cacheId="25" r:id="rId4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8" l="1"/>
  <c r="C71" i="18" l="1"/>
  <c r="C70" i="18"/>
  <c r="C69" i="18"/>
  <c r="C68" i="18"/>
  <c r="E71" i="18"/>
  <c r="E70" i="18"/>
  <c r="E69" i="18"/>
  <c r="E68" i="18"/>
  <c r="E67" i="18"/>
  <c r="C67" i="18"/>
  <c r="C62" i="18"/>
  <c r="C63" i="18"/>
  <c r="C64" i="18"/>
  <c r="C65" i="18"/>
  <c r="C66" i="18"/>
  <c r="C61" i="18"/>
  <c r="C60" i="18"/>
  <c r="C53" i="18"/>
  <c r="C52" i="18"/>
  <c r="C51" i="18"/>
  <c r="C45" i="18"/>
  <c r="C46" i="18"/>
  <c r="C47" i="18"/>
  <c r="C48" i="18"/>
  <c r="C49" i="18"/>
  <c r="C50" i="18"/>
  <c r="C44" i="18"/>
  <c r="C43" i="18"/>
  <c r="C42" i="18"/>
  <c r="I114" i="9"/>
  <c r="E66" i="18"/>
  <c r="E65" i="18"/>
  <c r="E64" i="18"/>
  <c r="E63" i="18"/>
  <c r="E62" i="18"/>
  <c r="E61" i="18"/>
  <c r="E60" i="18"/>
  <c r="E59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F64" i="9" l="1"/>
  <c r="F65" i="9"/>
  <c r="I105" i="9"/>
  <c r="I153" i="18"/>
  <c r="I111" i="9" l="1"/>
  <c r="I159" i="18"/>
  <c r="I164" i="18" l="1"/>
  <c r="I154" i="18" l="1"/>
  <c r="I155" i="18"/>
  <c r="I156" i="18"/>
  <c r="I158" i="18"/>
  <c r="I108" i="9"/>
  <c r="I110" i="9"/>
  <c r="F29" i="18" l="1"/>
  <c r="F7" i="9" l="1"/>
  <c r="I45" i="18" l="1"/>
  <c r="I48" i="18"/>
  <c r="I52" i="18"/>
  <c r="I44" i="18"/>
  <c r="I50" i="18"/>
  <c r="I47" i="18"/>
  <c r="I51" i="18"/>
  <c r="I46" i="18"/>
  <c r="I49" i="18"/>
  <c r="I53" i="18"/>
  <c r="G46" i="18"/>
  <c r="G44" i="18"/>
  <c r="G51" i="18"/>
  <c r="G47" i="18"/>
  <c r="G53" i="18"/>
  <c r="G49" i="18"/>
  <c r="G50" i="18"/>
  <c r="G48" i="18"/>
  <c r="G52" i="18"/>
  <c r="G45" i="18"/>
  <c r="D62" i="12"/>
  <c r="I43" i="18" l="1"/>
  <c r="I42" i="18"/>
  <c r="G43" i="18"/>
  <c r="G42" i="18"/>
  <c r="F161" i="17"/>
  <c r="C150" i="18"/>
  <c r="C151" i="18"/>
  <c r="C149" i="18"/>
  <c r="F148" i="18"/>
  <c r="F147" i="18"/>
  <c r="C148" i="18"/>
  <c r="C147" i="18"/>
  <c r="C146" i="18"/>
  <c r="F146" i="18"/>
  <c r="F145" i="18"/>
  <c r="F144" i="18"/>
  <c r="C145" i="18"/>
  <c r="C144" i="18"/>
  <c r="C156" i="17"/>
  <c r="F141" i="18"/>
  <c r="F142" i="18"/>
  <c r="F143" i="18"/>
  <c r="F140" i="18"/>
  <c r="C141" i="18"/>
  <c r="C142" i="18"/>
  <c r="C143" i="18"/>
  <c r="C140" i="18"/>
  <c r="F139" i="18"/>
  <c r="F138" i="18"/>
  <c r="C139" i="18"/>
  <c r="C138" i="18"/>
  <c r="C129" i="18"/>
  <c r="C130" i="18"/>
  <c r="C131" i="18"/>
  <c r="C132" i="18"/>
  <c r="C133" i="18"/>
  <c r="C134" i="18"/>
  <c r="C135" i="18"/>
  <c r="C136" i="18"/>
  <c r="C137" i="18"/>
  <c r="C128" i="18"/>
  <c r="F121" i="18"/>
  <c r="F122" i="18"/>
  <c r="F123" i="18"/>
  <c r="F124" i="18"/>
  <c r="F125" i="18"/>
  <c r="F126" i="18"/>
  <c r="F127" i="18"/>
  <c r="F120" i="18"/>
  <c r="C121" i="18"/>
  <c r="C122" i="18"/>
  <c r="C123" i="18"/>
  <c r="C124" i="18"/>
  <c r="C125" i="18"/>
  <c r="C126" i="18"/>
  <c r="C127" i="18"/>
  <c r="C120" i="18"/>
  <c r="F110" i="18"/>
  <c r="F111" i="18"/>
  <c r="F112" i="18"/>
  <c r="F113" i="18"/>
  <c r="F114" i="18"/>
  <c r="F115" i="18"/>
  <c r="F116" i="18"/>
  <c r="F117" i="18"/>
  <c r="F118" i="18"/>
  <c r="F119" i="18"/>
  <c r="F109" i="18"/>
  <c r="C110" i="18"/>
  <c r="C111" i="18"/>
  <c r="C112" i="18"/>
  <c r="C113" i="18"/>
  <c r="C114" i="18"/>
  <c r="C115" i="18"/>
  <c r="C116" i="18"/>
  <c r="C117" i="18"/>
  <c r="C118" i="18"/>
  <c r="C119" i="18"/>
  <c r="C109" i="18"/>
  <c r="F107" i="18"/>
  <c r="F108" i="18"/>
  <c r="F106" i="18"/>
  <c r="C107" i="18"/>
  <c r="C108" i="18"/>
  <c r="C106" i="18"/>
  <c r="F100" i="18"/>
  <c r="F101" i="18"/>
  <c r="F102" i="18"/>
  <c r="F103" i="18"/>
  <c r="F104" i="18"/>
  <c r="F105" i="18"/>
  <c r="F99" i="18"/>
  <c r="C100" i="18"/>
  <c r="C101" i="18"/>
  <c r="C102" i="18"/>
  <c r="C103" i="18"/>
  <c r="C104" i="18"/>
  <c r="C105" i="18"/>
  <c r="C99" i="18"/>
  <c r="F91" i="18"/>
  <c r="F92" i="18"/>
  <c r="F93" i="18"/>
  <c r="F94" i="18"/>
  <c r="F95" i="18"/>
  <c r="F96" i="18"/>
  <c r="F97" i="18"/>
  <c r="F98" i="18"/>
  <c r="F90" i="18"/>
  <c r="C91" i="18"/>
  <c r="C92" i="18"/>
  <c r="C93" i="18"/>
  <c r="C94" i="18"/>
  <c r="C95" i="18"/>
  <c r="C96" i="18"/>
  <c r="C97" i="18"/>
  <c r="C98" i="18"/>
  <c r="C90" i="18"/>
  <c r="F87" i="18"/>
  <c r="F88" i="18"/>
  <c r="F89" i="18"/>
  <c r="F86" i="18"/>
  <c r="F85" i="18"/>
  <c r="C87" i="18"/>
  <c r="C88" i="18"/>
  <c r="C89" i="18"/>
  <c r="C86" i="18"/>
  <c r="C85" i="18"/>
  <c r="F84" i="18"/>
  <c r="C84" i="18"/>
  <c r="F83" i="18"/>
  <c r="F82" i="18"/>
  <c r="C83" i="18"/>
  <c r="C82" i="18"/>
  <c r="F78" i="18"/>
  <c r="F79" i="18"/>
  <c r="F80" i="18"/>
  <c r="F81" i="18"/>
  <c r="F77" i="18"/>
  <c r="C78" i="18"/>
  <c r="C79" i="18"/>
  <c r="C80" i="18"/>
  <c r="C81" i="18"/>
  <c r="C77" i="18"/>
  <c r="F75" i="18"/>
  <c r="F76" i="18"/>
  <c r="F74" i="18"/>
  <c r="C75" i="18"/>
  <c r="C76" i="18"/>
  <c r="C74" i="18"/>
  <c r="F73" i="18"/>
  <c r="C73" i="18"/>
  <c r="F72" i="18"/>
  <c r="C72" i="18"/>
  <c r="C59" i="18"/>
  <c r="C58" i="18"/>
  <c r="C55" i="18"/>
  <c r="C56" i="18"/>
  <c r="C57" i="18"/>
  <c r="C54" i="18"/>
  <c r="E104" i="18"/>
  <c r="E134" i="18"/>
  <c r="E88" i="18"/>
  <c r="E105" i="18"/>
  <c r="E125" i="18"/>
  <c r="E118" i="18"/>
  <c r="E55" i="18"/>
  <c r="E89" i="18"/>
  <c r="E58" i="18"/>
  <c r="E106" i="18"/>
  <c r="E90" i="18"/>
  <c r="E94" i="18"/>
  <c r="E87" i="18"/>
  <c r="E107" i="18"/>
  <c r="E103" i="18"/>
  <c r="E140" i="18"/>
  <c r="E54" i="18"/>
  <c r="E76" i="18"/>
  <c r="E147" i="18"/>
  <c r="E114" i="18"/>
  <c r="E124" i="18"/>
  <c r="E149" i="18"/>
  <c r="E109" i="18"/>
  <c r="E101" i="18"/>
  <c r="E133" i="18"/>
  <c r="E57" i="18"/>
  <c r="E77" i="18"/>
  <c r="E123" i="18"/>
  <c r="E120" i="18"/>
  <c r="E79" i="18"/>
  <c r="E108" i="18"/>
  <c r="E141" i="18"/>
  <c r="E127" i="18"/>
  <c r="E119" i="18"/>
  <c r="E102" i="18"/>
  <c r="E128" i="18"/>
  <c r="E117" i="18"/>
  <c r="E92" i="18"/>
  <c r="E83" i="18"/>
  <c r="E85" i="18"/>
  <c r="E74" i="18"/>
  <c r="E116" i="18"/>
  <c r="E136" i="18"/>
  <c r="E97" i="18"/>
  <c r="E151" i="18"/>
  <c r="E148" i="18"/>
  <c r="E113" i="18"/>
  <c r="E56" i="18"/>
  <c r="E84" i="18"/>
  <c r="E145" i="18"/>
  <c r="E96" i="18"/>
  <c r="E81" i="18"/>
  <c r="E143" i="18"/>
  <c r="E135" i="18"/>
  <c r="E95" i="18"/>
  <c r="E126" i="18"/>
  <c r="E111" i="18"/>
  <c r="E80" i="18"/>
  <c r="E146" i="18"/>
  <c r="E139" i="18"/>
  <c r="E122" i="18"/>
  <c r="E75" i="18"/>
  <c r="E144" i="18"/>
  <c r="E132" i="18"/>
  <c r="E137" i="18"/>
  <c r="E91" i="18"/>
  <c r="E100" i="18"/>
  <c r="E138" i="18"/>
  <c r="E129" i="18"/>
  <c r="E115" i="18"/>
  <c r="E82" i="18"/>
  <c r="E142" i="18"/>
  <c r="E73" i="18"/>
  <c r="E110" i="18"/>
  <c r="E150" i="18"/>
  <c r="E131" i="18"/>
  <c r="E86" i="18"/>
  <c r="E93" i="18"/>
  <c r="E78" i="18"/>
  <c r="E130" i="18"/>
  <c r="E72" i="18"/>
  <c r="E98" i="18"/>
  <c r="E99" i="18"/>
  <c r="E121" i="18"/>
  <c r="E112" i="18"/>
  <c r="I82" i="18" l="1"/>
  <c r="I100" i="18"/>
  <c r="I63" i="18"/>
  <c r="I58" i="18"/>
  <c r="I135" i="18"/>
  <c r="I132" i="18"/>
  <c r="I108" i="18"/>
  <c r="I145" i="18"/>
  <c r="I113" i="18"/>
  <c r="I133" i="18"/>
  <c r="I118" i="18"/>
  <c r="I76" i="18"/>
  <c r="I67" i="18"/>
  <c r="I55" i="18"/>
  <c r="I83" i="18"/>
  <c r="I142" i="18"/>
  <c r="I111" i="18"/>
  <c r="I126" i="18"/>
  <c r="I102" i="18"/>
  <c r="I127" i="18"/>
  <c r="I90" i="18"/>
  <c r="I123" i="18"/>
  <c r="I148" i="18"/>
  <c r="I101" i="18"/>
  <c r="I125" i="18"/>
  <c r="I85" i="18"/>
  <c r="I73" i="18"/>
  <c r="I140" i="18"/>
  <c r="I78" i="18"/>
  <c r="I107" i="18"/>
  <c r="I69" i="18"/>
  <c r="I71" i="18"/>
  <c r="I87" i="18"/>
  <c r="I94" i="18"/>
  <c r="I60" i="18"/>
  <c r="I75" i="18"/>
  <c r="I122" i="18"/>
  <c r="I151" i="18"/>
  <c r="I109" i="18"/>
  <c r="I105" i="18"/>
  <c r="I86" i="18"/>
  <c r="I72" i="18"/>
  <c r="I131" i="18"/>
  <c r="I128" i="18"/>
  <c r="I91" i="18"/>
  <c r="I110" i="18"/>
  <c r="I81" i="18"/>
  <c r="I79" i="18"/>
  <c r="I84" i="18"/>
  <c r="I97" i="18"/>
  <c r="I149" i="18"/>
  <c r="I62" i="18"/>
  <c r="I68" i="18"/>
  <c r="I88" i="18"/>
  <c r="I98" i="18"/>
  <c r="I121" i="18"/>
  <c r="I130" i="18"/>
  <c r="I56" i="18"/>
  <c r="I150" i="18"/>
  <c r="I93" i="18"/>
  <c r="I137" i="18"/>
  <c r="I144" i="18"/>
  <c r="I96" i="18"/>
  <c r="I77" i="18"/>
  <c r="I136" i="18"/>
  <c r="I70" i="18"/>
  <c r="I61" i="18"/>
  <c r="I124" i="18"/>
  <c r="I57" i="18"/>
  <c r="I134" i="18"/>
  <c r="I146" i="18"/>
  <c r="I92" i="18"/>
  <c r="I64" i="18"/>
  <c r="I117" i="18"/>
  <c r="I115" i="18"/>
  <c r="I129" i="18"/>
  <c r="I119" i="18"/>
  <c r="I141" i="18"/>
  <c r="I66" i="18"/>
  <c r="I54" i="18"/>
  <c r="I106" i="18"/>
  <c r="I89" i="18"/>
  <c r="I116" i="18"/>
  <c r="I114" i="18"/>
  <c r="I104" i="18"/>
  <c r="I112" i="18"/>
  <c r="I80" i="18"/>
  <c r="I59" i="18"/>
  <c r="I99" i="18"/>
  <c r="I103" i="18"/>
  <c r="I65" i="18"/>
  <c r="I95" i="18"/>
  <c r="I143" i="18"/>
  <c r="I138" i="18"/>
  <c r="I120" i="18"/>
  <c r="I139" i="18"/>
  <c r="I74" i="18"/>
  <c r="I147" i="18"/>
  <c r="G74" i="18"/>
  <c r="G66" i="18"/>
  <c r="G80" i="18"/>
  <c r="G143" i="18"/>
  <c r="G128" i="18"/>
  <c r="G56" i="18"/>
  <c r="G99" i="18"/>
  <c r="G62" i="18"/>
  <c r="G70" i="18"/>
  <c r="G65" i="18"/>
  <c r="G87" i="18"/>
  <c r="G101" i="18"/>
  <c r="G112" i="18"/>
  <c r="G118" i="18"/>
  <c r="G117" i="18"/>
  <c r="G131" i="18"/>
  <c r="G119" i="18"/>
  <c r="G88" i="18"/>
  <c r="G103" i="18"/>
  <c r="G84" i="18"/>
  <c r="G54" i="18"/>
  <c r="G142" i="18"/>
  <c r="G151" i="18"/>
  <c r="G81" i="18"/>
  <c r="G126" i="18"/>
  <c r="G76" i="18"/>
  <c r="G82" i="18"/>
  <c r="G73" i="18"/>
  <c r="G63" i="18"/>
  <c r="G57" i="18"/>
  <c r="G140" i="18"/>
  <c r="G68" i="18"/>
  <c r="G137" i="18"/>
  <c r="G110" i="18"/>
  <c r="G104" i="18"/>
  <c r="G144" i="18"/>
  <c r="G138" i="18"/>
  <c r="G116" i="18"/>
  <c r="G127" i="18"/>
  <c r="G129" i="18"/>
  <c r="G123" i="18"/>
  <c r="G78" i="18"/>
  <c r="G106" i="18"/>
  <c r="G145" i="18"/>
  <c r="G59" i="18"/>
  <c r="G125" i="18"/>
  <c r="G113" i="18"/>
  <c r="G93" i="18"/>
  <c r="G102" i="18"/>
  <c r="G133" i="18"/>
  <c r="G121" i="18"/>
  <c r="G77" i="18"/>
  <c r="G94" i="18"/>
  <c r="G146" i="18"/>
  <c r="G72" i="18"/>
  <c r="G75" i="18"/>
  <c r="G92" i="18"/>
  <c r="G64" i="18"/>
  <c r="G149" i="18"/>
  <c r="G120" i="18"/>
  <c r="G60" i="18"/>
  <c r="G115" i="18"/>
  <c r="G148" i="18"/>
  <c r="G85" i="18"/>
  <c r="G89" i="18"/>
  <c r="G139" i="18"/>
  <c r="G150" i="18"/>
  <c r="G135" i="18"/>
  <c r="G105" i="18"/>
  <c r="G97" i="18"/>
  <c r="G124" i="18"/>
  <c r="G71" i="18"/>
  <c r="G109" i="18"/>
  <c r="G90" i="18"/>
  <c r="G141" i="18"/>
  <c r="G134" i="18"/>
  <c r="G122" i="18"/>
  <c r="G107" i="18"/>
  <c r="G100" i="18"/>
  <c r="G147" i="18"/>
  <c r="G108" i="18"/>
  <c r="G58" i="18"/>
  <c r="G61" i="18"/>
  <c r="G79" i="18"/>
  <c r="G114" i="18"/>
  <c r="G132" i="18"/>
  <c r="G130" i="18"/>
  <c r="G86" i="18"/>
  <c r="G95" i="18"/>
  <c r="G69" i="18"/>
  <c r="G96" i="18"/>
  <c r="G83" i="18"/>
  <c r="G136" i="18"/>
  <c r="G55" i="18"/>
  <c r="G98" i="18"/>
  <c r="G111" i="18"/>
  <c r="G91" i="18"/>
  <c r="G67" i="18"/>
  <c r="N137" i="18"/>
  <c r="N151" i="18"/>
  <c r="N89" i="18"/>
  <c r="N81" i="18"/>
  <c r="F43" i="18"/>
  <c r="C41" i="18"/>
  <c r="F35" i="18"/>
  <c r="F36" i="18"/>
  <c r="F37" i="18"/>
  <c r="F38" i="18"/>
  <c r="F39" i="18"/>
  <c r="F40" i="18"/>
  <c r="F34" i="18"/>
  <c r="C35" i="18"/>
  <c r="C36" i="18"/>
  <c r="C37" i="18"/>
  <c r="C38" i="18"/>
  <c r="C39" i="18"/>
  <c r="C40" i="18"/>
  <c r="C34" i="18"/>
  <c r="F31" i="18"/>
  <c r="F32" i="18"/>
  <c r="F33" i="18"/>
  <c r="C30" i="18"/>
  <c r="C31" i="18"/>
  <c r="C32" i="18"/>
  <c r="C33" i="18"/>
  <c r="C29" i="18"/>
  <c r="F21" i="18"/>
  <c r="F22" i="18"/>
  <c r="F23" i="18"/>
  <c r="F24" i="18"/>
  <c r="F25" i="18"/>
  <c r="F26" i="18"/>
  <c r="F27" i="18"/>
  <c r="F28" i="18"/>
  <c r="F20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" i="18"/>
  <c r="C21" i="18"/>
  <c r="C22" i="18"/>
  <c r="C23" i="18"/>
  <c r="C24" i="18"/>
  <c r="C25" i="18"/>
  <c r="C26" i="18"/>
  <c r="C27" i="18"/>
  <c r="C28" i="18"/>
  <c r="C20" i="18"/>
  <c r="C18" i="18"/>
  <c r="C19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2" i="18"/>
  <c r="I166" i="18"/>
  <c r="I165" i="18"/>
  <c r="I163" i="18"/>
  <c r="I162" i="18"/>
  <c r="I161" i="18"/>
  <c r="C22" i="17"/>
  <c r="C130" i="16"/>
  <c r="E68" i="15"/>
  <c r="E65" i="14"/>
  <c r="E82" i="13"/>
  <c r="D26" i="11"/>
  <c r="D22" i="10"/>
  <c r="E29" i="11"/>
  <c r="E16" i="18"/>
  <c r="E25" i="18"/>
  <c r="E8" i="18"/>
  <c r="E23" i="18"/>
  <c r="E7" i="18"/>
  <c r="E35" i="18"/>
  <c r="E40" i="18"/>
  <c r="E38" i="18"/>
  <c r="E17" i="18"/>
  <c r="E27" i="18"/>
  <c r="E2" i="18"/>
  <c r="E14" i="18"/>
  <c r="E13" i="18"/>
  <c r="E36" i="18"/>
  <c r="E33" i="18"/>
  <c r="E30" i="18"/>
  <c r="E26" i="18"/>
  <c r="E24" i="18"/>
  <c r="E6" i="18"/>
  <c r="E39" i="18"/>
  <c r="E10" i="18"/>
  <c r="E32" i="18"/>
  <c r="E15" i="18"/>
  <c r="E5" i="18"/>
  <c r="E9" i="18"/>
  <c r="E28" i="18"/>
  <c r="E20" i="18"/>
  <c r="E18" i="18"/>
  <c r="E41" i="18"/>
  <c r="E22" i="18"/>
  <c r="E3" i="18"/>
  <c r="E12" i="18"/>
  <c r="E34" i="18"/>
  <c r="E21" i="18"/>
  <c r="E11" i="18"/>
  <c r="E37" i="18"/>
  <c r="E31" i="18"/>
  <c r="E19" i="18"/>
  <c r="E29" i="18"/>
  <c r="E4" i="18"/>
  <c r="I4" i="18" l="1"/>
  <c r="I29" i="18"/>
  <c r="I19" i="18"/>
  <c r="I11" i="18"/>
  <c r="I21" i="18"/>
  <c r="I12" i="18"/>
  <c r="I3" i="18"/>
  <c r="I22" i="18"/>
  <c r="I18" i="18"/>
  <c r="I20" i="18"/>
  <c r="I28" i="18"/>
  <c r="I9" i="18"/>
  <c r="I5" i="18"/>
  <c r="I15" i="18"/>
  <c r="I10" i="18"/>
  <c r="I6" i="18"/>
  <c r="I24" i="18"/>
  <c r="I26" i="18"/>
  <c r="I13" i="18"/>
  <c r="I14" i="18"/>
  <c r="I2" i="18"/>
  <c r="I27" i="18"/>
  <c r="I17" i="18"/>
  <c r="I7" i="18"/>
  <c r="I23" i="18"/>
  <c r="I8" i="18"/>
  <c r="I25" i="18"/>
  <c r="I16" i="18"/>
  <c r="I40" i="18"/>
  <c r="I37" i="18"/>
  <c r="I34" i="18"/>
  <c r="I35" i="18"/>
  <c r="I30" i="18"/>
  <c r="I33" i="18"/>
  <c r="I31" i="18"/>
  <c r="I32" i="18"/>
  <c r="I36" i="18"/>
  <c r="I39" i="18"/>
  <c r="I38" i="18"/>
  <c r="I41" i="18"/>
  <c r="E171" i="18"/>
  <c r="G22" i="18"/>
  <c r="G6" i="18"/>
  <c r="G4" i="18"/>
  <c r="G26" i="18"/>
  <c r="G12" i="18"/>
  <c r="G33" i="18"/>
  <c r="G40" i="18"/>
  <c r="G11" i="18"/>
  <c r="G41" i="18"/>
  <c r="G24" i="18"/>
  <c r="G10" i="18"/>
  <c r="G17" i="18"/>
  <c r="G32" i="18"/>
  <c r="G31" i="18"/>
  <c r="G28" i="18"/>
  <c r="G30" i="18"/>
  <c r="G27" i="18"/>
  <c r="G3" i="18"/>
  <c r="G16" i="18"/>
  <c r="G19" i="18"/>
  <c r="G21" i="18"/>
  <c r="G29" i="18"/>
  <c r="G38" i="18"/>
  <c r="G39" i="18"/>
  <c r="G23" i="18"/>
  <c r="G18" i="18"/>
  <c r="G37" i="18"/>
  <c r="G35" i="18"/>
  <c r="G15" i="18"/>
  <c r="G2" i="18"/>
  <c r="G13" i="18"/>
  <c r="G36" i="18"/>
  <c r="G9" i="18"/>
  <c r="G34" i="18"/>
  <c r="G25" i="18"/>
  <c r="G7" i="18"/>
  <c r="G5" i="18"/>
  <c r="G20" i="18"/>
  <c r="G14" i="18"/>
  <c r="G8" i="18"/>
  <c r="N19" i="18"/>
  <c r="N41" i="18"/>
  <c r="I119" i="9"/>
  <c r="I118" i="9"/>
  <c r="I117" i="9"/>
  <c r="I116" i="9"/>
  <c r="I115" i="9"/>
  <c r="I113" i="9"/>
  <c r="C25" i="9"/>
  <c r="C26" i="9"/>
  <c r="C27" i="9"/>
  <c r="C28" i="9"/>
  <c r="C24" i="9"/>
  <c r="F28" i="9"/>
  <c r="F27" i="9"/>
  <c r="F26" i="9"/>
  <c r="F25" i="9"/>
  <c r="F24" i="9"/>
  <c r="C23" i="9"/>
  <c r="C22" i="9"/>
  <c r="F23" i="9"/>
  <c r="F22" i="9"/>
  <c r="C21" i="9"/>
  <c r="F21" i="9"/>
  <c r="E28" i="9"/>
  <c r="E24" i="9"/>
  <c r="E21" i="9"/>
  <c r="E27" i="9"/>
  <c r="E23" i="9"/>
  <c r="E26" i="9"/>
  <c r="E25" i="9"/>
  <c r="E22" i="9"/>
  <c r="E169" i="18" l="1"/>
  <c r="I25" i="9"/>
  <c r="I23" i="9"/>
  <c r="I24" i="9"/>
  <c r="I27" i="9"/>
  <c r="I21" i="9"/>
  <c r="I28" i="9"/>
  <c r="I26" i="9"/>
  <c r="I22" i="9"/>
  <c r="I157" i="18"/>
  <c r="E170" i="18" s="1"/>
  <c r="N28" i="9"/>
  <c r="E124" i="9"/>
  <c r="G21" i="9"/>
  <c r="G27" i="9"/>
  <c r="G26" i="9"/>
  <c r="G25" i="9"/>
  <c r="G24" i="9"/>
  <c r="G23" i="9"/>
  <c r="G22" i="9"/>
  <c r="I107" i="9"/>
  <c r="I106" i="9"/>
  <c r="E172" i="18" l="1"/>
  <c r="B4" i="19" s="1"/>
  <c r="F103" i="9"/>
  <c r="F102" i="9"/>
  <c r="F101" i="9"/>
  <c r="F100" i="9"/>
  <c r="F99" i="9"/>
  <c r="C100" i="9"/>
  <c r="C101" i="9"/>
  <c r="C102" i="9"/>
  <c r="C103" i="9"/>
  <c r="C99" i="9"/>
  <c r="F98" i="9"/>
  <c r="F97" i="9"/>
  <c r="F96" i="9"/>
  <c r="F95" i="9"/>
  <c r="F94" i="9"/>
  <c r="C95" i="9"/>
  <c r="C96" i="9"/>
  <c r="C97" i="9"/>
  <c r="C98" i="9"/>
  <c r="C94" i="9"/>
  <c r="F93" i="9"/>
  <c r="F92" i="9"/>
  <c r="C92" i="9"/>
  <c r="C93" i="9"/>
  <c r="C90" i="9"/>
  <c r="C91" i="9"/>
  <c r="C85" i="9"/>
  <c r="C86" i="9"/>
  <c r="C87" i="9"/>
  <c r="C88" i="9"/>
  <c r="C89" i="9"/>
  <c r="C84" i="9"/>
  <c r="F91" i="9"/>
  <c r="F90" i="9"/>
  <c r="F89" i="9"/>
  <c r="F88" i="9"/>
  <c r="F87" i="9"/>
  <c r="F85" i="9"/>
  <c r="F86" i="9"/>
  <c r="F84" i="9"/>
  <c r="D40" i="4"/>
  <c r="E96" i="9"/>
  <c r="E102" i="9"/>
  <c r="E95" i="9"/>
  <c r="E101" i="9"/>
  <c r="E97" i="9"/>
  <c r="E91" i="9"/>
  <c r="E84" i="9"/>
  <c r="E98" i="9"/>
  <c r="E103" i="9"/>
  <c r="E88" i="9"/>
  <c r="E85" i="9"/>
  <c r="E89" i="9"/>
  <c r="E87" i="9"/>
  <c r="E99" i="9"/>
  <c r="E86" i="9"/>
  <c r="E90" i="9"/>
  <c r="E92" i="9"/>
  <c r="E100" i="9"/>
  <c r="E94" i="9"/>
  <c r="E93" i="9"/>
  <c r="I97" i="9" l="1"/>
  <c r="I102" i="9"/>
  <c r="I93" i="9"/>
  <c r="I86" i="9"/>
  <c r="I101" i="9"/>
  <c r="I85" i="9"/>
  <c r="I89" i="9"/>
  <c r="I98" i="9"/>
  <c r="I84" i="9"/>
  <c r="I91" i="9"/>
  <c r="I88" i="9"/>
  <c r="I103" i="9"/>
  <c r="I95" i="9"/>
  <c r="I96" i="9"/>
  <c r="I90" i="9"/>
  <c r="I94" i="9"/>
  <c r="I100" i="9"/>
  <c r="I99" i="9"/>
  <c r="I92" i="9"/>
  <c r="I87" i="9"/>
  <c r="N103" i="9"/>
  <c r="N93" i="9"/>
  <c r="N98" i="9"/>
  <c r="G94" i="9"/>
  <c r="G95" i="9"/>
  <c r="G96" i="9"/>
  <c r="G97" i="9"/>
  <c r="G98" i="9"/>
  <c r="G99" i="9"/>
  <c r="G100" i="9"/>
  <c r="G101" i="9"/>
  <c r="G102" i="9"/>
  <c r="G103" i="9"/>
  <c r="G85" i="9"/>
  <c r="G92" i="9"/>
  <c r="G91" i="9"/>
  <c r="G90" i="9"/>
  <c r="G89" i="9"/>
  <c r="G88" i="9"/>
  <c r="G87" i="9"/>
  <c r="G86" i="9"/>
  <c r="G84" i="9"/>
  <c r="C83" i="9" l="1"/>
  <c r="C82" i="9"/>
  <c r="C81" i="9"/>
  <c r="F83" i="9"/>
  <c r="F82" i="9"/>
  <c r="F81" i="9"/>
  <c r="C80" i="9"/>
  <c r="F80" i="9"/>
  <c r="C79" i="9"/>
  <c r="F79" i="9"/>
  <c r="C76" i="9"/>
  <c r="C77" i="9"/>
  <c r="C78" i="9"/>
  <c r="C75" i="9"/>
  <c r="F78" i="9"/>
  <c r="F77" i="9"/>
  <c r="F76" i="9"/>
  <c r="F75" i="9"/>
  <c r="C74" i="9"/>
  <c r="F74" i="9"/>
  <c r="C73" i="9"/>
  <c r="F73" i="9"/>
  <c r="C72" i="9"/>
  <c r="C71" i="9"/>
  <c r="F72" i="9"/>
  <c r="F71" i="9"/>
  <c r="F70" i="9"/>
  <c r="C70" i="9"/>
  <c r="C68" i="9"/>
  <c r="C69" i="9"/>
  <c r="C67" i="9"/>
  <c r="F69" i="9"/>
  <c r="F68" i="9"/>
  <c r="F67" i="9"/>
  <c r="F66" i="9"/>
  <c r="C66" i="9"/>
  <c r="F63" i="9"/>
  <c r="C64" i="9"/>
  <c r="C65" i="9"/>
  <c r="C63" i="9"/>
  <c r="C59" i="9"/>
  <c r="C60" i="9"/>
  <c r="C61" i="9"/>
  <c r="C62" i="9"/>
  <c r="C58" i="9"/>
  <c r="F62" i="9"/>
  <c r="F61" i="9"/>
  <c r="F60" i="9"/>
  <c r="F59" i="9"/>
  <c r="F58" i="9"/>
  <c r="F57" i="9"/>
  <c r="F56" i="9"/>
  <c r="C57" i="9"/>
  <c r="C56" i="9"/>
  <c r="C54" i="9"/>
  <c r="C55" i="9"/>
  <c r="C53" i="9"/>
  <c r="F54" i="9"/>
  <c r="F53" i="9"/>
  <c r="C48" i="9"/>
  <c r="C49" i="9"/>
  <c r="C50" i="9"/>
  <c r="C51" i="9"/>
  <c r="C52" i="9"/>
  <c r="C47" i="9"/>
  <c r="C46" i="9"/>
  <c r="C45" i="9"/>
  <c r="F52" i="9"/>
  <c r="F51" i="9"/>
  <c r="F50" i="9"/>
  <c r="F49" i="9"/>
  <c r="F48" i="9"/>
  <c r="F47" i="9"/>
  <c r="F46" i="9"/>
  <c r="F45" i="9"/>
  <c r="C41" i="9"/>
  <c r="C42" i="9"/>
  <c r="C43" i="9"/>
  <c r="C44" i="9"/>
  <c r="C40" i="9"/>
  <c r="C39" i="9"/>
  <c r="C38" i="9"/>
  <c r="F44" i="9"/>
  <c r="F43" i="9"/>
  <c r="F42" i="9"/>
  <c r="F41" i="9"/>
  <c r="F40" i="9"/>
  <c r="F39" i="9"/>
  <c r="F38" i="9"/>
  <c r="C33" i="9"/>
  <c r="C34" i="9"/>
  <c r="C35" i="9"/>
  <c r="C36" i="9"/>
  <c r="C37" i="9"/>
  <c r="C32" i="9"/>
  <c r="C31" i="9"/>
  <c r="C30" i="9"/>
  <c r="C29" i="9"/>
  <c r="F37" i="9"/>
  <c r="F36" i="9"/>
  <c r="F35" i="9"/>
  <c r="F34" i="9"/>
  <c r="F33" i="9"/>
  <c r="F32" i="9"/>
  <c r="F31" i="9"/>
  <c r="F30" i="9"/>
  <c r="F29" i="9"/>
  <c r="F20" i="9"/>
  <c r="C20" i="9"/>
  <c r="C19" i="9"/>
  <c r="C18" i="9"/>
  <c r="C17" i="9"/>
  <c r="C16" i="9"/>
  <c r="C15" i="9"/>
  <c r="F19" i="9"/>
  <c r="F18" i="9"/>
  <c r="F17" i="9"/>
  <c r="F16" i="9"/>
  <c r="F15" i="9"/>
  <c r="C14" i="9"/>
  <c r="C13" i="9"/>
  <c r="F14" i="9"/>
  <c r="F13" i="9"/>
  <c r="C12" i="9"/>
  <c r="C11" i="9"/>
  <c r="F12" i="9"/>
  <c r="F11" i="9"/>
  <c r="C10" i="9"/>
  <c r="C9" i="9"/>
  <c r="C8" i="9"/>
  <c r="C7" i="9"/>
  <c r="F10" i="9"/>
  <c r="F9" i="9"/>
  <c r="F8" i="9"/>
  <c r="F6" i="9"/>
  <c r="F5" i="9"/>
  <c r="C6" i="9"/>
  <c r="C5" i="9"/>
  <c r="C4" i="9"/>
  <c r="F4" i="9"/>
  <c r="C3" i="9"/>
  <c r="F3" i="9"/>
  <c r="C2" i="9"/>
  <c r="F2" i="9"/>
  <c r="E75" i="9"/>
  <c r="E61" i="9"/>
  <c r="E52" i="9"/>
  <c r="E11" i="9"/>
  <c r="E64" i="9"/>
  <c r="E3" i="9"/>
  <c r="E47" i="9"/>
  <c r="G64" i="9"/>
  <c r="E4" i="9"/>
  <c r="E32" i="9"/>
  <c r="E60" i="9"/>
  <c r="E56" i="9"/>
  <c r="E6" i="9"/>
  <c r="E67" i="9"/>
  <c r="E8" i="9"/>
  <c r="E59" i="9"/>
  <c r="E15" i="9"/>
  <c r="E74" i="9"/>
  <c r="E16" i="9"/>
  <c r="E30" i="9"/>
  <c r="E50" i="9"/>
  <c r="E62" i="9"/>
  <c r="E14" i="9"/>
  <c r="E66" i="9"/>
  <c r="E35" i="9"/>
  <c r="E65" i="9"/>
  <c r="E63" i="9"/>
  <c r="E5" i="9"/>
  <c r="E17" i="9"/>
  <c r="E80" i="9"/>
  <c r="E9" i="9"/>
  <c r="E10" i="9"/>
  <c r="E57" i="9"/>
  <c r="E42" i="9"/>
  <c r="E81" i="9"/>
  <c r="E38" i="9"/>
  <c r="E79" i="9"/>
  <c r="E41" i="9"/>
  <c r="E33" i="9"/>
  <c r="E2" i="9"/>
  <c r="E58" i="9"/>
  <c r="E13" i="9"/>
  <c r="E55" i="9"/>
  <c r="E48" i="9"/>
  <c r="E19" i="9"/>
  <c r="E68" i="9"/>
  <c r="E43" i="9"/>
  <c r="E49" i="9"/>
  <c r="E31" i="9"/>
  <c r="E45" i="9"/>
  <c r="E40" i="9"/>
  <c r="E44" i="9"/>
  <c r="E71" i="9"/>
  <c r="E77" i="9"/>
  <c r="E37" i="9"/>
  <c r="E73" i="9"/>
  <c r="E70" i="9"/>
  <c r="E29" i="9"/>
  <c r="E51" i="9"/>
  <c r="E78" i="9"/>
  <c r="G65" i="9"/>
  <c r="E18" i="9"/>
  <c r="E83" i="9"/>
  <c r="E34" i="9"/>
  <c r="E53" i="9"/>
  <c r="E82" i="9"/>
  <c r="E72" i="9"/>
  <c r="E76" i="9"/>
  <c r="E36" i="9"/>
  <c r="E54" i="9"/>
  <c r="E12" i="9"/>
  <c r="G63" i="9"/>
  <c r="E69" i="9"/>
  <c r="E46" i="9"/>
  <c r="E39" i="9"/>
  <c r="E20" i="9"/>
  <c r="E7" i="9"/>
  <c r="I6" i="9" l="1"/>
  <c r="I58" i="9"/>
  <c r="I33" i="9"/>
  <c r="I60" i="9"/>
  <c r="I47" i="9"/>
  <c r="I72" i="9"/>
  <c r="I73" i="9"/>
  <c r="I68" i="9"/>
  <c r="I36" i="9"/>
  <c r="I74" i="9"/>
  <c r="I78" i="9"/>
  <c r="I34" i="9"/>
  <c r="I55" i="9"/>
  <c r="I45" i="9"/>
  <c r="I41" i="9"/>
  <c r="I32" i="9"/>
  <c r="I3" i="9"/>
  <c r="I70" i="9"/>
  <c r="I46" i="9"/>
  <c r="I20" i="9"/>
  <c r="I18" i="9"/>
  <c r="I76" i="9"/>
  <c r="I48" i="9"/>
  <c r="I8" i="9"/>
  <c r="I63" i="9"/>
  <c r="I35" i="9"/>
  <c r="I79" i="9"/>
  <c r="I66" i="9"/>
  <c r="I64" i="9"/>
  <c r="I12" i="9"/>
  <c r="I54" i="9"/>
  <c r="I37" i="9"/>
  <c r="I9" i="9"/>
  <c r="I17" i="9"/>
  <c r="I44" i="9"/>
  <c r="I40" i="9"/>
  <c r="I56" i="9"/>
  <c r="I38" i="9"/>
  <c r="I4" i="9"/>
  <c r="I11" i="9"/>
  <c r="I50" i="9"/>
  <c r="I30" i="9"/>
  <c r="I83" i="9"/>
  <c r="I39" i="9"/>
  <c r="I77" i="9"/>
  <c r="I15" i="9"/>
  <c r="I51" i="9"/>
  <c r="I13" i="9"/>
  <c r="I2" i="9"/>
  <c r="I81" i="9"/>
  <c r="I14" i="9"/>
  <c r="I52" i="9"/>
  <c r="I43" i="9"/>
  <c r="I7" i="9"/>
  <c r="I82" i="9"/>
  <c r="I16" i="9"/>
  <c r="I53" i="9"/>
  <c r="I71" i="9"/>
  <c r="I5" i="9"/>
  <c r="I29" i="9"/>
  <c r="I31" i="9"/>
  <c r="I42" i="9"/>
  <c r="I61" i="9"/>
  <c r="I10" i="9"/>
  <c r="I69" i="9"/>
  <c r="I19" i="9"/>
  <c r="I80" i="9"/>
  <c r="I59" i="9"/>
  <c r="I67" i="9"/>
  <c r="I65" i="9"/>
  <c r="I49" i="9"/>
  <c r="I57" i="9"/>
  <c r="I62" i="9"/>
  <c r="I75" i="9"/>
  <c r="E109" i="9"/>
  <c r="I109" i="9" s="1"/>
  <c r="E123" i="9" s="1"/>
  <c r="N72" i="9"/>
  <c r="N69" i="9"/>
  <c r="N57" i="9"/>
  <c r="N20" i="9"/>
  <c r="N55" i="9"/>
  <c r="N37" i="9"/>
  <c r="N65" i="9"/>
  <c r="N44" i="9"/>
  <c r="N78" i="9"/>
  <c r="N83" i="9"/>
  <c r="N62" i="9"/>
  <c r="N10" i="9"/>
  <c r="N52" i="9"/>
  <c r="G50" i="9"/>
  <c r="G71" i="9"/>
  <c r="G51" i="9"/>
  <c r="G59" i="9"/>
  <c r="G72" i="9"/>
  <c r="G80" i="9"/>
  <c r="G60" i="9"/>
  <c r="G73" i="9"/>
  <c r="G81" i="9"/>
  <c r="G58" i="9"/>
  <c r="G45" i="9"/>
  <c r="G53" i="9"/>
  <c r="G61" i="9"/>
  <c r="G66" i="9"/>
  <c r="G74" i="9"/>
  <c r="G82" i="9"/>
  <c r="G46" i="9"/>
  <c r="G54" i="9"/>
  <c r="G62" i="9"/>
  <c r="G67" i="9"/>
  <c r="G75" i="9"/>
  <c r="G83" i="9"/>
  <c r="G47" i="9"/>
  <c r="G55" i="9"/>
  <c r="G68" i="9"/>
  <c r="G76" i="9"/>
  <c r="G48" i="9"/>
  <c r="G56" i="9"/>
  <c r="G69" i="9"/>
  <c r="G77" i="9"/>
  <c r="G79" i="9"/>
  <c r="G49" i="9"/>
  <c r="G57" i="9"/>
  <c r="G70" i="9"/>
  <c r="G78" i="9"/>
  <c r="G31" i="9"/>
  <c r="G32" i="9"/>
  <c r="G33" i="9"/>
  <c r="G34" i="9"/>
  <c r="G35" i="9"/>
  <c r="G36" i="9"/>
  <c r="G38" i="9"/>
  <c r="G39" i="9"/>
  <c r="G40" i="9"/>
  <c r="G41" i="9"/>
  <c r="G42" i="9"/>
  <c r="G43" i="9"/>
  <c r="G15" i="9"/>
  <c r="G16" i="9"/>
  <c r="G17" i="9"/>
  <c r="G18" i="9"/>
  <c r="G19" i="9"/>
  <c r="G29" i="9"/>
  <c r="G30" i="9"/>
  <c r="G11" i="9"/>
  <c r="G12" i="9"/>
  <c r="G13" i="9"/>
  <c r="G14" i="9"/>
  <c r="G2" i="9"/>
  <c r="G3" i="9"/>
  <c r="G4" i="9"/>
  <c r="G5" i="9"/>
  <c r="G6" i="9"/>
  <c r="G7" i="9"/>
  <c r="G8" i="9"/>
  <c r="G9" i="9"/>
  <c r="G10" i="9"/>
  <c r="E122" i="9" l="1"/>
  <c r="B7" i="5"/>
  <c r="D80" i="3"/>
  <c r="F190" i="2"/>
  <c r="F187" i="2"/>
  <c r="F140" i="2"/>
  <c r="F91" i="2"/>
  <c r="F54" i="2"/>
  <c r="F22" i="2"/>
  <c r="F499" i="1"/>
  <c r="F488" i="1"/>
  <c r="F398" i="1"/>
  <c r="F290" i="1"/>
  <c r="F217" i="1"/>
  <c r="F143" i="1"/>
  <c r="F68" i="1"/>
  <c r="J1" i="1"/>
  <c r="E125" i="9" l="1"/>
  <c r="B3" i="19" s="1"/>
  <c r="B6" i="19" s="1"/>
  <c r="F18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F_1np.dwg" type="6" refreshedVersion="1" background="1" saveData="1">
    <textPr codePage="863" sourceFile="D:\Vykresy\0_CZU_Agrofakulta\hlavni_budova\AF_1np.dwg.txt" decimal="," thousands=" " semicolon="1">
      <textFields count="2">
        <textField type="text"/>
        <textField/>
      </textFields>
    </textPr>
  </connection>
  <connection id="2" xr16:uid="{00000000-0015-0000-FFFF-FFFF01000000}" name="AF_1pp.dwg" type="6" refreshedVersion="1" background="1" saveData="1">
    <textPr codePage="863" sourceFile="D:\Vykresy\0_CZU_Agrofakulta\hlavni_budova\AF_1pp.dwg.txt" decimal="," thousands=" " semicolon="1">
      <textFields count="2">
        <textField type="text"/>
        <textField/>
      </textFields>
    </textPr>
  </connection>
  <connection id="3" xr16:uid="{00000000-0015-0000-FFFF-FFFF02000000}" name="AF_1pp.dwg2" type="6" refreshedVersion="1" background="1" saveData="1">
    <textPr codePage="863" sourceFile="D:\Vykresy\0_CZU_Agrofakulta\hlavni_budova\AF_1pp.dwg.txt" decimal="," thousands=" " semicolon="1">
      <textFields count="2">
        <textField type="text"/>
        <textField/>
      </textFields>
    </textPr>
  </connection>
  <connection id="4" xr16:uid="{00000000-0015-0000-FFFF-FFFF03000000}" name="AF_2np.dwg" type="6" refreshedVersion="1" background="1" saveData="1">
    <textPr codePage="863" sourceFile="D:\Vykresy\0_CZU_Agrofakulta\hlavni_budova\AF_2np.dwg.txt" decimal="," thousands=" " semicolon="1">
      <textFields count="2">
        <textField type="text"/>
        <textField/>
      </textFields>
    </textPr>
  </connection>
  <connection id="5" xr16:uid="{00000000-0015-0000-FFFF-FFFF04000000}" name="AF_3np.dwg" type="6" refreshedVersion="1" background="1" saveData="1">
    <textPr codePage="863" sourceFile="C:\Dokumenty\Zdroje dat\AF_3np.dwg.txt" decimal="," thousands=" " semicolon="1">
      <textFields count="2">
        <textField type="text"/>
        <textField/>
      </textFields>
    </textPr>
  </connection>
  <connection id="6" xr16:uid="{00000000-0015-0000-FFFF-FFFF05000000}" name="AF_4np.dwg" type="6" refreshedVersion="1" background="1" saveData="1">
    <textPr codePage="863" sourceFile="D:\Vykresy\0_CZU_Agrofakulta\hlavni_budova\AF_4np.dwg.txt" decimal="," thousands=" " semicolon="1">
      <textFields count="2">
        <textField type="text"/>
        <textField/>
      </textFields>
    </textPr>
  </connection>
  <connection id="7" xr16:uid="{00000000-0015-0000-FFFF-FFFF06000000}" name="AF_5np.dwg" type="6" refreshedVersion="1" background="1" saveData="1">
    <textPr codePage="863" sourceFile="C:\Dokumenty\Zdroje dat\AF_5np.dwg.txt" decimal="," thousands=" " semicolon="1">
      <textFields count="2">
        <textField type="text"/>
        <textField/>
      </textFields>
    </textPr>
  </connection>
  <connection id="8" xr16:uid="{00000000-0015-0000-FFFF-FFFF07000000}" name="AF_strecha.dwg" type="6" refreshedVersion="1" background="1" saveData="1">
    <textPr codePage="1256" sourceFile="D:\Vykresy\0_CZU_Agrofakulta\hlavni_budova\AF_strecha.dwg.txt" decimal="," thousands=" " semicolon="1">
      <textFields count="2">
        <textField type="text"/>
        <textField/>
      </textFields>
    </textPr>
  </connection>
  <connection id="9" xr16:uid="{00000000-0015-0000-FFFF-FFFF08000000}" name="hl_bud_1pp1.dwg" type="6" refreshedVersion="1" background="1" saveData="1">
    <textPr codePage="1256" sourceFile="C:\Documents and Settings\Vladimír Kuba\Dokumenty\Zdroje dat\hl_bud_1pp1.dwg.txt" decimal="," thousands=" " semicolon="1">
      <textFields count="2">
        <textField type="text"/>
        <textField/>
      </textFields>
    </textPr>
  </connection>
  <connection id="10" xr16:uid="{00000000-0015-0000-FFFF-FFFF09000000}" name="hl_bud_1pp2.dwg" type="6" refreshedVersion="1" background="1" saveData="1">
    <textPr codePage="1256" sourceFile="C:\Documents and Settings\Vladimír Kuba\Dokumenty\Zdroje dat\hl_bud_1pp2.dwg.txt" decimal="," thousands=" " semicolon="1">
      <textFields count="2">
        <textField type="text"/>
        <textField/>
      </textFields>
    </textPr>
  </connection>
  <connection id="11" xr16:uid="{00000000-0015-0000-FFFF-FFFF0A000000}" name="hl_bud_1pp3.dwg" type="6" refreshedVersion="1" background="1" saveData="1">
    <textPr codePage="1256" sourceFile="C:\Documents and Settings\Vladimír Kuba\Dokumenty\Zdroje dat\hl_bud_1pp3.dwg.txt" decimal="," thousands=" " semicolon="1">
      <textFields count="2">
        <textField type="text"/>
        <textField/>
      </textFields>
    </textPr>
  </connection>
</connections>
</file>

<file path=xl/sharedStrings.xml><?xml version="1.0" encoding="utf-8"?>
<sst xmlns="http://schemas.openxmlformats.org/spreadsheetml/2006/main" count="8029" uniqueCount="1492">
  <si>
    <t>Celkový souhrn</t>
  </si>
  <si>
    <t>Fakulta</t>
  </si>
  <si>
    <t>Cena celkem prp účely kalkulačního modelu</t>
  </si>
  <si>
    <t>FAPPZ</t>
  </si>
  <si>
    <t>TF</t>
  </si>
  <si>
    <t>Celková souhrnná cena za VŘ</t>
  </si>
  <si>
    <t>Budova</t>
  </si>
  <si>
    <t>Podlaží</t>
  </si>
  <si>
    <t>Pravidelné úklidové a čistící práce</t>
  </si>
  <si>
    <t>Jednotka</t>
  </si>
  <si>
    <t>Počet jednotek denního úklidu</t>
  </si>
  <si>
    <t xml:space="preserve">Četnost úklidu (týden, měsíc) </t>
  </si>
  <si>
    <t>koef. (skrýt)</t>
  </si>
  <si>
    <t>Jednotková cena</t>
  </si>
  <si>
    <t>Cena pro účely kalkulačního modelu</t>
  </si>
  <si>
    <t>Kontrola</t>
  </si>
  <si>
    <t>FAPPZ-A</t>
  </si>
  <si>
    <t>1.pp suterén</t>
  </si>
  <si>
    <t>Kč bez DPH/m2/den</t>
  </si>
  <si>
    <t>1.np přízemí</t>
  </si>
  <si>
    <t>2.np (1.patro)</t>
  </si>
  <si>
    <t>3.np (2.patro)</t>
  </si>
  <si>
    <t>4.np (3.patro)</t>
  </si>
  <si>
    <t>5.np (4.patro)</t>
  </si>
  <si>
    <t>6.np (střecha)</t>
  </si>
  <si>
    <t>bez úklidu</t>
  </si>
  <si>
    <t>Dle potřeby</t>
  </si>
  <si>
    <t>FAPPZ-B</t>
  </si>
  <si>
    <t>FAPPZ-C</t>
  </si>
  <si>
    <t>FAPPZ_CVCHP</t>
  </si>
  <si>
    <t>FAPPZ_Skleníky</t>
  </si>
  <si>
    <t>FAPPZ_Stáje</t>
  </si>
  <si>
    <t xml:space="preserve">Cena za mimořádný úklid </t>
  </si>
  <si>
    <t>Předpokládaný počet jednotek</t>
  </si>
  <si>
    <t>Pohotovost pro zásah při haváriích a mimořádných událostech</t>
  </si>
  <si>
    <t>Kč bez DPH/službu/měsíc</t>
  </si>
  <si>
    <t xml:space="preserve">Zajištění úklidu při haváriích a mimořádných událostech nejpozději do 30 minut po nahlášení stálé pohotovostní službě - příplatek k jednotkovým cenám za položky pravidelných úklidových a čisticích prací </t>
  </si>
  <si>
    <t xml:space="preserve">Čištění  kobercových ploch </t>
  </si>
  <si>
    <t>Kč bez DPH /m2</t>
  </si>
  <si>
    <t>Mytí oken vč. rámů (2000 m2 á rok)</t>
  </si>
  <si>
    <t xml:space="preserve">Vytírání tvrdých podlah </t>
  </si>
  <si>
    <t>Vysávání vody</t>
  </si>
  <si>
    <t xml:space="preserve">Pravidelné úklidové a čistící práce realizované o víkendu (dle výukového rozvrhu) - příplatek k jednotkovým cenám za položky pravidelných úklidových a čistících prací </t>
  </si>
  <si>
    <t>Hygienický servis</t>
  </si>
  <si>
    <t>Předpokládaný počet jednotek/měsíc</t>
  </si>
  <si>
    <t>Tekuté mýdlo</t>
  </si>
  <si>
    <t>Kč bez DPH/litr</t>
  </si>
  <si>
    <t>Pěnové mýdlo</t>
  </si>
  <si>
    <t>Toaletní papír pro jmenovitý rozměr zásobníku 24 cm, dvouvrstvý, vymačkávaný</t>
  </si>
  <si>
    <t>Kč bez DPH/role</t>
  </si>
  <si>
    <t>Papírové ručníky ZZ (dvouvrstvé, vymačkávané, "Z" sklad, jmenovitý rozměr zásobníku 25x23 cm)</t>
  </si>
  <si>
    <t>Kč bez DPH/bal</t>
  </si>
  <si>
    <t>Sáčky na odpad, min. 60x74 cm, tolerance rozměrů +/- 15%</t>
  </si>
  <si>
    <t>Sáčky na odpad, min. 70x110 cm, min. 40 µm, min. 50 ks v roli tolerance rozměrů +/- 15%</t>
  </si>
  <si>
    <t xml:space="preserve">Závěsný blok do záchodové mísy </t>
  </si>
  <si>
    <t>Kč bez DPH/ks</t>
  </si>
  <si>
    <t xml:space="preserve">Váha důležitosti </t>
  </si>
  <si>
    <t>Celkem</t>
  </si>
  <si>
    <t>Četnost úklidu (týden)</t>
  </si>
  <si>
    <t>Kuhová hala</t>
  </si>
  <si>
    <t>1.pp</t>
  </si>
  <si>
    <t>1.np</t>
  </si>
  <si>
    <t>Laboratoř</t>
  </si>
  <si>
    <t>2.np</t>
  </si>
  <si>
    <t>3.np</t>
  </si>
  <si>
    <t>Dílny</t>
  </si>
  <si>
    <t>Mytí oken vč. rámů (500m2 á rok)</t>
  </si>
  <si>
    <t>ČZU - kruhová hala -  suterén - 1pp</t>
  </si>
  <si>
    <t>Popisky řádků</t>
  </si>
  <si>
    <t>Součet z plocha (m2)</t>
  </si>
  <si>
    <t>č.místnosti</t>
  </si>
  <si>
    <t>č.dveří</t>
  </si>
  <si>
    <t>užití</t>
  </si>
  <si>
    <t>plocha (m2)</t>
  </si>
  <si>
    <t>výška(m)</t>
  </si>
  <si>
    <t>povrch podlahy</t>
  </si>
  <si>
    <t>povrch stěn</t>
  </si>
  <si>
    <t>povrch stropu</t>
  </si>
  <si>
    <t>četnost úklidu</t>
  </si>
  <si>
    <t>0.01</t>
  </si>
  <si>
    <t>zádveří</t>
  </si>
  <si>
    <t xml:space="preserve">stěrková </t>
  </si>
  <si>
    <t>amfiteátr</t>
  </si>
  <si>
    <t>0.02</t>
  </si>
  <si>
    <t>studentský klub</t>
  </si>
  <si>
    <t>2,90-4,48</t>
  </si>
  <si>
    <t>chodba</t>
  </si>
  <si>
    <t>0.03</t>
  </si>
  <si>
    <t>kuchyně</t>
  </si>
  <si>
    <t>keram.dl.</t>
  </si>
  <si>
    <t>obklad 2,00</t>
  </si>
  <si>
    <t>kotelna</t>
  </si>
  <si>
    <t>0.04</t>
  </si>
  <si>
    <t>sklad</t>
  </si>
  <si>
    <t>0.05</t>
  </si>
  <si>
    <t>úklidová komora</t>
  </si>
  <si>
    <t>0.06</t>
  </si>
  <si>
    <t>strojovna VZT</t>
  </si>
  <si>
    <t>0.07</t>
  </si>
  <si>
    <t>šatna personál</t>
  </si>
  <si>
    <t>0.08</t>
  </si>
  <si>
    <t>umývárna personál</t>
  </si>
  <si>
    <t>0.09</t>
  </si>
  <si>
    <t>wc personál</t>
  </si>
  <si>
    <t>0.10</t>
  </si>
  <si>
    <t>umývárna muži</t>
  </si>
  <si>
    <t>0.11</t>
  </si>
  <si>
    <t>umývárna ženy</t>
  </si>
  <si>
    <t>0.12</t>
  </si>
  <si>
    <t>wc ženy</t>
  </si>
  <si>
    <t>0.13</t>
  </si>
  <si>
    <t>wc-bezbariérové</t>
  </si>
  <si>
    <t>obklad 1,20</t>
  </si>
  <si>
    <t>vzduchová komora</t>
  </si>
  <si>
    <t>0.14</t>
  </si>
  <si>
    <t>wc muži</t>
  </si>
  <si>
    <t>0.15</t>
  </si>
  <si>
    <t>0.16</t>
  </si>
  <si>
    <t>0.17</t>
  </si>
  <si>
    <t>0.18</t>
  </si>
  <si>
    <t>beton</t>
  </si>
  <si>
    <t>0.19</t>
  </si>
  <si>
    <t>Celkový součet</t>
  </si>
  <si>
    <t>celkem</t>
  </si>
  <si>
    <t>ČZU - kruhová hala -  přízemí - 1np</t>
  </si>
  <si>
    <t>četnost úklidu
počet dní v týdnu</t>
  </si>
  <si>
    <t>1.01</t>
  </si>
  <si>
    <t>3T</t>
  </si>
  <si>
    <t>hlavní vstup</t>
  </si>
  <si>
    <t>1.02</t>
  </si>
  <si>
    <t>foyer-výstavní plocha</t>
  </si>
  <si>
    <t>3,27-4,50</t>
  </si>
  <si>
    <t>krytý chodník</t>
  </si>
  <si>
    <t>1.03</t>
  </si>
  <si>
    <t>volný prostor pod galerií</t>
  </si>
  <si>
    <t>obč. - wc personál</t>
  </si>
  <si>
    <t>1.04</t>
  </si>
  <si>
    <t>galerie</t>
  </si>
  <si>
    <t>dřev.masiv</t>
  </si>
  <si>
    <t>občerstvení - prodej</t>
  </si>
  <si>
    <t>1.05</t>
  </si>
  <si>
    <t>občerstvení - sklad</t>
  </si>
  <si>
    <t>1.06</t>
  </si>
  <si>
    <t>přednáškový sál</t>
  </si>
  <si>
    <t>2,68-3,60</t>
  </si>
  <si>
    <t>pvc</t>
  </si>
  <si>
    <t>5T</t>
  </si>
  <si>
    <t>občerstvení - šatna</t>
  </si>
  <si>
    <t>1.07</t>
  </si>
  <si>
    <t>přípravna přednášejícího</t>
  </si>
  <si>
    <t>1.08</t>
  </si>
  <si>
    <t>rampa</t>
  </si>
  <si>
    <t>na vyžádání</t>
  </si>
  <si>
    <t>1.09</t>
  </si>
  <si>
    <t>SDK obklad</t>
  </si>
  <si>
    <t>SDK podhled</t>
  </si>
  <si>
    <t>1.10</t>
  </si>
  <si>
    <t>1.11</t>
  </si>
  <si>
    <t>1.12</t>
  </si>
  <si>
    <t>1.13</t>
  </si>
  <si>
    <t>1.14</t>
  </si>
  <si>
    <t>podium</t>
  </si>
  <si>
    <t>1.15</t>
  </si>
  <si>
    <t>1.16</t>
  </si>
  <si>
    <t>wc - bezbariérové</t>
  </si>
  <si>
    <t>1.17</t>
  </si>
  <si>
    <t>chodba wc</t>
  </si>
  <si>
    <t>1.18</t>
  </si>
  <si>
    <t>1.19</t>
  </si>
  <si>
    <t>1.20</t>
  </si>
  <si>
    <t>1.21</t>
  </si>
  <si>
    <t>1.22</t>
  </si>
  <si>
    <t>1.23</t>
  </si>
  <si>
    <t>='KH 1 np'!K19</t>
  </si>
  <si>
    <t>ČZU - TF - hlavní budova -  přízemí - 1pp</t>
  </si>
  <si>
    <t xml:space="preserve">001/I   </t>
  </si>
  <si>
    <t>wc</t>
  </si>
  <si>
    <t xml:space="preserve">002/I   </t>
  </si>
  <si>
    <t>obklad 1,33</t>
  </si>
  <si>
    <t>lab.učebna</t>
  </si>
  <si>
    <t xml:space="preserve">003/I   </t>
  </si>
  <si>
    <t>kancelář</t>
  </si>
  <si>
    <t xml:space="preserve">004/I   </t>
  </si>
  <si>
    <t>laboratoř</t>
  </si>
  <si>
    <t xml:space="preserve">005/I   </t>
  </si>
  <si>
    <t>05</t>
  </si>
  <si>
    <t>strojovna</t>
  </si>
  <si>
    <t xml:space="preserve">006/I   </t>
  </si>
  <si>
    <t xml:space="preserve">007/I   </t>
  </si>
  <si>
    <t>chodba (HUV)</t>
  </si>
  <si>
    <t xml:space="preserve">007a/I   </t>
  </si>
  <si>
    <t>učebna</t>
  </si>
  <si>
    <t xml:space="preserve">008/I   </t>
  </si>
  <si>
    <t>vinyl</t>
  </si>
  <si>
    <t>úklid</t>
  </si>
  <si>
    <t xml:space="preserve">010/I   </t>
  </si>
  <si>
    <t>pracovna</t>
  </si>
  <si>
    <t xml:space="preserve">011/I   </t>
  </si>
  <si>
    <t>umývárna</t>
  </si>
  <si>
    <t xml:space="preserve">012/I   </t>
  </si>
  <si>
    <t>3,17-1,57</t>
  </si>
  <si>
    <t>telef. ústředna</t>
  </si>
  <si>
    <t xml:space="preserve">091a/I   </t>
  </si>
  <si>
    <t>3,30(3,33)</t>
  </si>
  <si>
    <t xml:space="preserve">091b/I   </t>
  </si>
  <si>
    <t>telef. rozvodna</t>
  </si>
  <si>
    <t xml:space="preserve">M08/I   </t>
  </si>
  <si>
    <t>M08/I</t>
  </si>
  <si>
    <t>mont. podhled</t>
  </si>
  <si>
    <t>předsíň</t>
  </si>
  <si>
    <t xml:space="preserve">001/II   </t>
  </si>
  <si>
    <t>obklad 1,47</t>
  </si>
  <si>
    <t xml:space="preserve">002/II   </t>
  </si>
  <si>
    <t>studentská místnost</t>
  </si>
  <si>
    <t xml:space="preserve">003/II   </t>
  </si>
  <si>
    <t>knihárna</t>
  </si>
  <si>
    <t xml:space="preserve">004/II   </t>
  </si>
  <si>
    <t xml:space="preserve">005/II   </t>
  </si>
  <si>
    <t>obklad 1,37(1,97)</t>
  </si>
  <si>
    <t xml:space="preserve">006/II   </t>
  </si>
  <si>
    <t xml:space="preserve">007/II   </t>
  </si>
  <si>
    <t xml:space="preserve">008/II   </t>
  </si>
  <si>
    <t xml:space="preserve">010/II   </t>
  </si>
  <si>
    <t xml:space="preserve">011/II   </t>
  </si>
  <si>
    <t xml:space="preserve">013/II   </t>
  </si>
  <si>
    <t xml:space="preserve">014/II   </t>
  </si>
  <si>
    <t xml:space="preserve">015/II   </t>
  </si>
  <si>
    <t>15/2</t>
  </si>
  <si>
    <t xml:space="preserve">016/II   </t>
  </si>
  <si>
    <t>16/2</t>
  </si>
  <si>
    <t>kyselinovzdorná dl.</t>
  </si>
  <si>
    <t xml:space="preserve">016a/II   </t>
  </si>
  <si>
    <t>16a/2</t>
  </si>
  <si>
    <t>olej nátěr 1,92</t>
  </si>
  <si>
    <t xml:space="preserve">017/II   </t>
  </si>
  <si>
    <t>17/2</t>
  </si>
  <si>
    <t xml:space="preserve">018/II   </t>
  </si>
  <si>
    <t>18/2</t>
  </si>
  <si>
    <t xml:space="preserve">019/II   </t>
  </si>
  <si>
    <t>3,18-1,59</t>
  </si>
  <si>
    <t>020/II</t>
  </si>
  <si>
    <t>021/II</t>
  </si>
  <si>
    <t xml:space="preserve">091a/II   </t>
  </si>
  <si>
    <t>012/II</t>
  </si>
  <si>
    <t xml:space="preserve">001/III   </t>
  </si>
  <si>
    <t>obklad 1,48</t>
  </si>
  <si>
    <t xml:space="preserve">002/III   </t>
  </si>
  <si>
    <t xml:space="preserve">003/III   </t>
  </si>
  <si>
    <t xml:space="preserve">004/III   </t>
  </si>
  <si>
    <t xml:space="preserve">005/III   </t>
  </si>
  <si>
    <t xml:space="preserve">006/III  </t>
  </si>
  <si>
    <t xml:space="preserve">007/III   </t>
  </si>
  <si>
    <t>07/3</t>
  </si>
  <si>
    <t xml:space="preserve">008a/III   </t>
  </si>
  <si>
    <t>008a/3</t>
  </si>
  <si>
    <t xml:space="preserve">008b/III   </t>
  </si>
  <si>
    <t>008b/3</t>
  </si>
  <si>
    <t xml:space="preserve">009/III   </t>
  </si>
  <si>
    <t>009/3</t>
  </si>
  <si>
    <t>2,57(3,18)</t>
  </si>
  <si>
    <t xml:space="preserve">009a/III   </t>
  </si>
  <si>
    <t>009a/3</t>
  </si>
  <si>
    <t xml:space="preserve">M010/III   </t>
  </si>
  <si>
    <t>M010/3</t>
  </si>
  <si>
    <t xml:space="preserve">011/III   </t>
  </si>
  <si>
    <t>011a/III</t>
  </si>
  <si>
    <t xml:space="preserve">012/III   </t>
  </si>
  <si>
    <t>12</t>
  </si>
  <si>
    <t>obklad 0,91</t>
  </si>
  <si>
    <t xml:space="preserve">014/III   </t>
  </si>
  <si>
    <t>014/3</t>
  </si>
  <si>
    <t xml:space="preserve">015/III   </t>
  </si>
  <si>
    <t>obklad 0,92</t>
  </si>
  <si>
    <t xml:space="preserve">016/III   </t>
  </si>
  <si>
    <t>016</t>
  </si>
  <si>
    <t>sadurit</t>
  </si>
  <si>
    <t>obklad 0,93</t>
  </si>
  <si>
    <t xml:space="preserve">017/III   </t>
  </si>
  <si>
    <t xml:space="preserve">018/III   </t>
  </si>
  <si>
    <t xml:space="preserve">091/III   </t>
  </si>
  <si>
    <t>3,27(2,15)</t>
  </si>
  <si>
    <t>ČZU - TF - hlavní budova -  přízemí - 1np</t>
  </si>
  <si>
    <t>budova</t>
  </si>
  <si>
    <t>01/I</t>
  </si>
  <si>
    <t>keramická dl.</t>
  </si>
  <si>
    <t>obklad 2,17</t>
  </si>
  <si>
    <t>občerstvení</t>
  </si>
  <si>
    <t>02/I</t>
  </si>
  <si>
    <t>server</t>
  </si>
  <si>
    <t>03/I</t>
  </si>
  <si>
    <t>serverovna</t>
  </si>
  <si>
    <t>04/I</t>
  </si>
  <si>
    <t>4</t>
  </si>
  <si>
    <t>07/I</t>
  </si>
  <si>
    <t>7</t>
  </si>
  <si>
    <t>VZT</t>
  </si>
  <si>
    <t>08/I</t>
  </si>
  <si>
    <t>8</t>
  </si>
  <si>
    <t>koberec</t>
  </si>
  <si>
    <t>09/I</t>
  </si>
  <si>
    <t>9</t>
  </si>
  <si>
    <t>10/I</t>
  </si>
  <si>
    <t>10</t>
  </si>
  <si>
    <t>zasedací místnost</t>
  </si>
  <si>
    <t>11/I</t>
  </si>
  <si>
    <t>11</t>
  </si>
  <si>
    <t>12/I</t>
  </si>
  <si>
    <t>13/I</t>
  </si>
  <si>
    <t>13</t>
  </si>
  <si>
    <t>4,41(3,83)</t>
  </si>
  <si>
    <t xml:space="preserve">kancelář </t>
  </si>
  <si>
    <t>14/I</t>
  </si>
  <si>
    <t>14</t>
  </si>
  <si>
    <t>kuchyňka</t>
  </si>
  <si>
    <t>16/I</t>
  </si>
  <si>
    <t>16</t>
  </si>
  <si>
    <t>posluchárna</t>
  </si>
  <si>
    <t>17/I</t>
  </si>
  <si>
    <t>17</t>
  </si>
  <si>
    <t>schodiště</t>
  </si>
  <si>
    <t>18/I</t>
  </si>
  <si>
    <t>18</t>
  </si>
  <si>
    <t>knihovna</t>
  </si>
  <si>
    <t>19/I</t>
  </si>
  <si>
    <t>19</t>
  </si>
  <si>
    <t>vstup</t>
  </si>
  <si>
    <t>20/I</t>
  </si>
  <si>
    <t>20</t>
  </si>
  <si>
    <t>22/I</t>
  </si>
  <si>
    <t>22</t>
  </si>
  <si>
    <t>23/I</t>
  </si>
  <si>
    <t>1T</t>
  </si>
  <si>
    <t>24/I</t>
  </si>
  <si>
    <t>3,85-3,99</t>
  </si>
  <si>
    <t>teraco</t>
  </si>
  <si>
    <t>25/I</t>
  </si>
  <si>
    <t>2,40-2,50</t>
  </si>
  <si>
    <t>26/I</t>
  </si>
  <si>
    <t>28/II</t>
  </si>
  <si>
    <t>obklad 1,67(1,83)</t>
  </si>
  <si>
    <t>30/II</t>
  </si>
  <si>
    <t>30</t>
  </si>
  <si>
    <t>31/II</t>
  </si>
  <si>
    <t>31</t>
  </si>
  <si>
    <t>32/II</t>
  </si>
  <si>
    <t>32</t>
  </si>
  <si>
    <t>33/II</t>
  </si>
  <si>
    <t>33</t>
  </si>
  <si>
    <t>37/II</t>
  </si>
  <si>
    <t>37</t>
  </si>
  <si>
    <t>38/II</t>
  </si>
  <si>
    <t>41/II</t>
  </si>
  <si>
    <t>41</t>
  </si>
  <si>
    <t>42/II</t>
  </si>
  <si>
    <t>42</t>
  </si>
  <si>
    <t>43/II</t>
  </si>
  <si>
    <t>43</t>
  </si>
  <si>
    <t>44/II</t>
  </si>
  <si>
    <t>44</t>
  </si>
  <si>
    <t>45/II</t>
  </si>
  <si>
    <t>45a,b</t>
  </si>
  <si>
    <t>46/II</t>
  </si>
  <si>
    <t>46</t>
  </si>
  <si>
    <t>47/II</t>
  </si>
  <si>
    <t>obklad 2,16</t>
  </si>
  <si>
    <t>48/II</t>
  </si>
  <si>
    <t>49/II</t>
  </si>
  <si>
    <t>obklad 1,97</t>
  </si>
  <si>
    <t>50/III</t>
  </si>
  <si>
    <t>3,85-3,99(2,50)</t>
  </si>
  <si>
    <t xml:space="preserve">51/III </t>
  </si>
  <si>
    <t>52/III</t>
  </si>
  <si>
    <t>2,36(2,09)</t>
  </si>
  <si>
    <t>53/III</t>
  </si>
  <si>
    <t>3,02(3,30)</t>
  </si>
  <si>
    <t>54/III</t>
  </si>
  <si>
    <t>55/III</t>
  </si>
  <si>
    <t>56/III</t>
  </si>
  <si>
    <t>56</t>
  </si>
  <si>
    <t>plovoucí podlaha</t>
  </si>
  <si>
    <t>57/III</t>
  </si>
  <si>
    <t>57</t>
  </si>
  <si>
    <t>58/III</t>
  </si>
  <si>
    <t>58</t>
  </si>
  <si>
    <t>59/III</t>
  </si>
  <si>
    <t>59</t>
  </si>
  <si>
    <t>60/III</t>
  </si>
  <si>
    <t>60</t>
  </si>
  <si>
    <t>61/III</t>
  </si>
  <si>
    <t>4,39(3,80)</t>
  </si>
  <si>
    <t>62/III</t>
  </si>
  <si>
    <t>62</t>
  </si>
  <si>
    <t>63/III</t>
  </si>
  <si>
    <t>63</t>
  </si>
  <si>
    <t>64/III</t>
  </si>
  <si>
    <t>64</t>
  </si>
  <si>
    <t>65/III</t>
  </si>
  <si>
    <t>65</t>
  </si>
  <si>
    <t>67/III</t>
  </si>
  <si>
    <t>68/III</t>
  </si>
  <si>
    <t>70/III</t>
  </si>
  <si>
    <t>70</t>
  </si>
  <si>
    <t>71/III</t>
  </si>
  <si>
    <t>71</t>
  </si>
  <si>
    <t>72/III</t>
  </si>
  <si>
    <t>obklad 2,25</t>
  </si>
  <si>
    <t xml:space="preserve">73/III   </t>
  </si>
  <si>
    <t>nátěr 1,50</t>
  </si>
  <si>
    <t xml:space="preserve">74/III </t>
  </si>
  <si>
    <t>75/III</t>
  </si>
  <si>
    <t xml:space="preserve">90a/I   </t>
  </si>
  <si>
    <t xml:space="preserve">90b/II   </t>
  </si>
  <si>
    <t xml:space="preserve">90c/III   </t>
  </si>
  <si>
    <t xml:space="preserve">91/I   </t>
  </si>
  <si>
    <t xml:space="preserve">91a   </t>
  </si>
  <si>
    <t>3,09(3,30(2,83))</t>
  </si>
  <si>
    <t xml:space="preserve">91b/I   </t>
  </si>
  <si>
    <t>3,31(2,87)</t>
  </si>
  <si>
    <t xml:space="preserve">91c/I   </t>
  </si>
  <si>
    <t xml:space="preserve">91d/II   </t>
  </si>
  <si>
    <t>3,30(2,82)</t>
  </si>
  <si>
    <t xml:space="preserve">91e/II   </t>
  </si>
  <si>
    <t>3,59(3,00)</t>
  </si>
  <si>
    <t xml:space="preserve">91f/III   </t>
  </si>
  <si>
    <t xml:space="preserve">91g/III   </t>
  </si>
  <si>
    <t xml:space="preserve">92/II   </t>
  </si>
  <si>
    <t xml:space="preserve">93/III  </t>
  </si>
  <si>
    <t xml:space="preserve">M1/II   </t>
  </si>
  <si>
    <t>2,73(3,58)</t>
  </si>
  <si>
    <t xml:space="preserve">M/I   </t>
  </si>
  <si>
    <t>M/I</t>
  </si>
  <si>
    <t>3,19(4,43(4,12))</t>
  </si>
  <si>
    <t xml:space="preserve">M/III  </t>
  </si>
  <si>
    <t>3,25(4,16)</t>
  </si>
  <si>
    <t xml:space="preserve">M6/I   </t>
  </si>
  <si>
    <t>M6</t>
  </si>
  <si>
    <t>ČZU - TF - hlavní budova -  1.patro - 2np</t>
  </si>
  <si>
    <t xml:space="preserve">101/I   </t>
  </si>
  <si>
    <t xml:space="preserve">102/I   </t>
  </si>
  <si>
    <t xml:space="preserve">103/I   </t>
  </si>
  <si>
    <t>3,31(3,14)</t>
  </si>
  <si>
    <t xml:space="preserve">104/I   </t>
  </si>
  <si>
    <t>104</t>
  </si>
  <si>
    <t xml:space="preserve">106/I  </t>
  </si>
  <si>
    <t>106</t>
  </si>
  <si>
    <t xml:space="preserve">108/I   </t>
  </si>
  <si>
    <t>108</t>
  </si>
  <si>
    <t xml:space="preserve">109/I   </t>
  </si>
  <si>
    <t>109</t>
  </si>
  <si>
    <t xml:space="preserve">111/I   </t>
  </si>
  <si>
    <t>111</t>
  </si>
  <si>
    <t xml:space="preserve">113/I   </t>
  </si>
  <si>
    <t>113</t>
  </si>
  <si>
    <t xml:space="preserve">114/I  </t>
  </si>
  <si>
    <t>114</t>
  </si>
  <si>
    <t>seminární místnost</t>
  </si>
  <si>
    <t xml:space="preserve">116/I   </t>
  </si>
  <si>
    <t>116</t>
  </si>
  <si>
    <t xml:space="preserve">117/I   </t>
  </si>
  <si>
    <t>117</t>
  </si>
  <si>
    <t xml:space="preserve">119/I   </t>
  </si>
  <si>
    <t>118</t>
  </si>
  <si>
    <t xml:space="preserve">120/I   </t>
  </si>
  <si>
    <t>120</t>
  </si>
  <si>
    <t xml:space="preserve">121/I   </t>
  </si>
  <si>
    <t>121</t>
  </si>
  <si>
    <t xml:space="preserve">122/I   </t>
  </si>
  <si>
    <t>122</t>
  </si>
  <si>
    <t xml:space="preserve">123/I   </t>
  </si>
  <si>
    <t>123</t>
  </si>
  <si>
    <t xml:space="preserve">124/I   </t>
  </si>
  <si>
    <t>124</t>
  </si>
  <si>
    <t xml:space="preserve">125/I   </t>
  </si>
  <si>
    <t>125</t>
  </si>
  <si>
    <t xml:space="preserve">127/I   </t>
  </si>
  <si>
    <t>127</t>
  </si>
  <si>
    <t xml:space="preserve">190/I   </t>
  </si>
  <si>
    <t xml:space="preserve">191/I   </t>
  </si>
  <si>
    <t xml:space="preserve">101/II   </t>
  </si>
  <si>
    <t>obklad 1,98</t>
  </si>
  <si>
    <t xml:space="preserve">102/II </t>
  </si>
  <si>
    <t xml:space="preserve">103/II   </t>
  </si>
  <si>
    <t xml:space="preserve">104/II   </t>
  </si>
  <si>
    <t xml:space="preserve">104   </t>
  </si>
  <si>
    <t xml:space="preserve">105/II   </t>
  </si>
  <si>
    <t xml:space="preserve">105   </t>
  </si>
  <si>
    <t xml:space="preserve">106/II   </t>
  </si>
  <si>
    <t xml:space="preserve">106   </t>
  </si>
  <si>
    <t xml:space="preserve">107/II   </t>
  </si>
  <si>
    <t xml:space="preserve">107   </t>
  </si>
  <si>
    <t xml:space="preserve">108/II   </t>
  </si>
  <si>
    <t xml:space="preserve">109/II   </t>
  </si>
  <si>
    <t xml:space="preserve">109   </t>
  </si>
  <si>
    <t xml:space="preserve">110/II   </t>
  </si>
  <si>
    <t xml:space="preserve">111/II   </t>
  </si>
  <si>
    <t xml:space="preserve">111   </t>
  </si>
  <si>
    <t>113/II</t>
  </si>
  <si>
    <t>2T</t>
  </si>
  <si>
    <t xml:space="preserve">116/II   </t>
  </si>
  <si>
    <t xml:space="preserve">117/II   </t>
  </si>
  <si>
    <t xml:space="preserve">117   </t>
  </si>
  <si>
    <t xml:space="preserve">118/II   </t>
  </si>
  <si>
    <t xml:space="preserve">118   </t>
  </si>
  <si>
    <t xml:space="preserve">119/II   </t>
  </si>
  <si>
    <t xml:space="preserve">119   </t>
  </si>
  <si>
    <t xml:space="preserve">120/II   </t>
  </si>
  <si>
    <t xml:space="preserve">120   </t>
  </si>
  <si>
    <t xml:space="preserve">121/II   </t>
  </si>
  <si>
    <t xml:space="preserve">121   </t>
  </si>
  <si>
    <t xml:space="preserve">190/II   </t>
  </si>
  <si>
    <t xml:space="preserve">191/II   </t>
  </si>
  <si>
    <t>3,30(2,85)</t>
  </si>
  <si>
    <t xml:space="preserve">101/III   </t>
  </si>
  <si>
    <t xml:space="preserve">102/III   </t>
  </si>
  <si>
    <t xml:space="preserve">103/III   </t>
  </si>
  <si>
    <t xml:space="preserve">104/III   </t>
  </si>
  <si>
    <t xml:space="preserve">105/III   </t>
  </si>
  <si>
    <t xml:space="preserve">107/III   </t>
  </si>
  <si>
    <t xml:space="preserve">108/III   </t>
  </si>
  <si>
    <t xml:space="preserve">108   </t>
  </si>
  <si>
    <t xml:space="preserve">109/III   </t>
  </si>
  <si>
    <t xml:space="preserve">110/III   </t>
  </si>
  <si>
    <t xml:space="preserve">110   </t>
  </si>
  <si>
    <t xml:space="preserve">111/III   </t>
  </si>
  <si>
    <t xml:space="preserve">112/III   </t>
  </si>
  <si>
    <t xml:space="preserve">112   </t>
  </si>
  <si>
    <t xml:space="preserve">113/III   </t>
  </si>
  <si>
    <t xml:space="preserve">113   </t>
  </si>
  <si>
    <t xml:space="preserve">114/III   </t>
  </si>
  <si>
    <t xml:space="preserve">114   </t>
  </si>
  <si>
    <t xml:space="preserve">115/III   </t>
  </si>
  <si>
    <t xml:space="preserve">115   </t>
  </si>
  <si>
    <t xml:space="preserve">117/III   </t>
  </si>
  <si>
    <t xml:space="preserve">119/III  </t>
  </si>
  <si>
    <t xml:space="preserve">123/III  </t>
  </si>
  <si>
    <t xml:space="preserve">123   </t>
  </si>
  <si>
    <t xml:space="preserve">125/III   </t>
  </si>
  <si>
    <t xml:space="preserve">125   </t>
  </si>
  <si>
    <t xml:space="preserve">190/III   </t>
  </si>
  <si>
    <t xml:space="preserve">191/III   </t>
  </si>
  <si>
    <t>3,26(2,83)</t>
  </si>
  <si>
    <t>ČZU - TF - hlavní budova -  2.patro - 3np</t>
  </si>
  <si>
    <t xml:space="preserve">201/I  </t>
  </si>
  <si>
    <t>3,36-3,46</t>
  </si>
  <si>
    <t xml:space="preserve">202/I   </t>
  </si>
  <si>
    <t>3,35(4,46)</t>
  </si>
  <si>
    <t xml:space="preserve">203/I   </t>
  </si>
  <si>
    <t xml:space="preserve">204/I   </t>
  </si>
  <si>
    <t xml:space="preserve">204   </t>
  </si>
  <si>
    <t>3,37-3,44</t>
  </si>
  <si>
    <t xml:space="preserve">206/I   </t>
  </si>
  <si>
    <t xml:space="preserve">206   </t>
  </si>
  <si>
    <t xml:space="preserve">207/I   </t>
  </si>
  <si>
    <t xml:space="preserve">207   </t>
  </si>
  <si>
    <t xml:space="preserve">208/I   </t>
  </si>
  <si>
    <t xml:space="preserve">208   </t>
  </si>
  <si>
    <t xml:space="preserve">209/I  </t>
  </si>
  <si>
    <t xml:space="preserve">209   </t>
  </si>
  <si>
    <t xml:space="preserve">210/I   </t>
  </si>
  <si>
    <t xml:space="preserve">210   </t>
  </si>
  <si>
    <t xml:space="preserve">211/I   </t>
  </si>
  <si>
    <t xml:space="preserve">211   </t>
  </si>
  <si>
    <t xml:space="preserve">213/I   </t>
  </si>
  <si>
    <t xml:space="preserve">213   </t>
  </si>
  <si>
    <t>3,34-3,44</t>
  </si>
  <si>
    <t xml:space="preserve">214/I   </t>
  </si>
  <si>
    <t xml:space="preserve">214   </t>
  </si>
  <si>
    <t>3,23-3,44</t>
  </si>
  <si>
    <t xml:space="preserve">215/I   </t>
  </si>
  <si>
    <t xml:space="preserve">215   </t>
  </si>
  <si>
    <t xml:space="preserve">216/I   </t>
  </si>
  <si>
    <t xml:space="preserve">216   </t>
  </si>
  <si>
    <t xml:space="preserve">217/I   </t>
  </si>
  <si>
    <t xml:space="preserve">217   </t>
  </si>
  <si>
    <t>3,03-3,22</t>
  </si>
  <si>
    <t xml:space="preserve">218/I   </t>
  </si>
  <si>
    <t xml:space="preserve">218   </t>
  </si>
  <si>
    <t xml:space="preserve">219/I   </t>
  </si>
  <si>
    <t xml:space="preserve">219   </t>
  </si>
  <si>
    <t xml:space="preserve">220/I   </t>
  </si>
  <si>
    <t xml:space="preserve">220   </t>
  </si>
  <si>
    <t xml:space="preserve">220a/I   </t>
  </si>
  <si>
    <t xml:space="preserve">220a   </t>
  </si>
  <si>
    <t xml:space="preserve">221/I  </t>
  </si>
  <si>
    <t xml:space="preserve">221   </t>
  </si>
  <si>
    <t xml:space="preserve">290/I   </t>
  </si>
  <si>
    <t xml:space="preserve">291/I   </t>
  </si>
  <si>
    <t>3,26-3,32(2,86)</t>
  </si>
  <si>
    <t xml:space="preserve">201/II   </t>
  </si>
  <si>
    <t>3,31-3,45</t>
  </si>
  <si>
    <t xml:space="preserve">202/II  </t>
  </si>
  <si>
    <t>202</t>
  </si>
  <si>
    <t>3,31(4,46)</t>
  </si>
  <si>
    <t xml:space="preserve">203/II </t>
  </si>
  <si>
    <t xml:space="preserve">205/II  </t>
  </si>
  <si>
    <t xml:space="preserve">205   </t>
  </si>
  <si>
    <t xml:space="preserve">206/II   </t>
  </si>
  <si>
    <t xml:space="preserve">207/II  </t>
  </si>
  <si>
    <t xml:space="preserve">208/II   </t>
  </si>
  <si>
    <t xml:space="preserve">209/II   </t>
  </si>
  <si>
    <t xml:space="preserve">210/II   </t>
  </si>
  <si>
    <t xml:space="preserve">211/II  </t>
  </si>
  <si>
    <t xml:space="preserve">212/II  </t>
  </si>
  <si>
    <t xml:space="preserve">212   </t>
  </si>
  <si>
    <t>3,34-3,46</t>
  </si>
  <si>
    <t xml:space="preserve">213/II   </t>
  </si>
  <si>
    <t>3,27-3,47</t>
  </si>
  <si>
    <t xml:space="preserve">214/II   </t>
  </si>
  <si>
    <t xml:space="preserve">215/II   </t>
  </si>
  <si>
    <t xml:space="preserve">216/II   </t>
  </si>
  <si>
    <t xml:space="preserve">217/II   </t>
  </si>
  <si>
    <t xml:space="preserve">218/II   </t>
  </si>
  <si>
    <t xml:space="preserve">219/II   </t>
  </si>
  <si>
    <t xml:space="preserve">220/II   </t>
  </si>
  <si>
    <t xml:space="preserve">290/II   </t>
  </si>
  <si>
    <t xml:space="preserve">291/II   </t>
  </si>
  <si>
    <t>3,21-3,29(2,86)</t>
  </si>
  <si>
    <t xml:space="preserve">201/III   </t>
  </si>
  <si>
    <t xml:space="preserve">202/III   </t>
  </si>
  <si>
    <t>3,35(4,49)</t>
  </si>
  <si>
    <t xml:space="preserve">203/III   </t>
  </si>
  <si>
    <t xml:space="preserve">204/III   </t>
  </si>
  <si>
    <t xml:space="preserve">207/III   </t>
  </si>
  <si>
    <t xml:space="preserve">205/III   </t>
  </si>
  <si>
    <t>205</t>
  </si>
  <si>
    <t xml:space="preserve">208/III   </t>
  </si>
  <si>
    <t xml:space="preserve">209/III   </t>
  </si>
  <si>
    <t xml:space="preserve">210/III   </t>
  </si>
  <si>
    <t xml:space="preserve">211/III   </t>
  </si>
  <si>
    <t xml:space="preserve">212/III   </t>
  </si>
  <si>
    <t xml:space="preserve">213/III   </t>
  </si>
  <si>
    <t xml:space="preserve">214/III   </t>
  </si>
  <si>
    <t>3,27-3,44</t>
  </si>
  <si>
    <t xml:space="preserve">215a/III   </t>
  </si>
  <si>
    <t xml:space="preserve">215a   </t>
  </si>
  <si>
    <t xml:space="preserve">215/III   </t>
  </si>
  <si>
    <t xml:space="preserve">216/III   </t>
  </si>
  <si>
    <t xml:space="preserve">217/III   </t>
  </si>
  <si>
    <t xml:space="preserve">218/III   </t>
  </si>
  <si>
    <t xml:space="preserve">219/III   </t>
  </si>
  <si>
    <t xml:space="preserve">220/III   </t>
  </si>
  <si>
    <t>220/III</t>
  </si>
  <si>
    <t xml:space="preserve">290/III   </t>
  </si>
  <si>
    <t xml:space="preserve">291/III   </t>
  </si>
  <si>
    <t>3,25-3,30(2,89)</t>
  </si>
  <si>
    <t>ČZU - TF - DÍLNY - TABULKA MÍSTNOSTÍ 1.NP</t>
  </si>
  <si>
    <t>poznáky</t>
  </si>
  <si>
    <t>Součet z PLOCHA (m2)</t>
  </si>
  <si>
    <t>Č.M.</t>
  </si>
  <si>
    <t>NÁZEV MÍSTNOSTÍ</t>
  </si>
  <si>
    <t>PLOCHA (m2)</t>
  </si>
  <si>
    <t>VÝŠKA (mm)</t>
  </si>
  <si>
    <t>PODLAHA</t>
  </si>
  <si>
    <t>STĚNY</t>
  </si>
  <si>
    <t>STROP</t>
  </si>
  <si>
    <t>ŠATNA</t>
  </si>
  <si>
    <t>dlažba keramická</t>
  </si>
  <si>
    <t>KOTELNA</t>
  </si>
  <si>
    <t>0.01a</t>
  </si>
  <si>
    <t>UMÝVÁRNA</t>
  </si>
  <si>
    <t>obklad ker. 2,02m</t>
  </si>
  <si>
    <t>PIVOVAR - SKLAD</t>
  </si>
  <si>
    <t>0.01b</t>
  </si>
  <si>
    <t>PŘÍPRAVNA</t>
  </si>
  <si>
    <t>KANCELÁŘ</t>
  </si>
  <si>
    <t>PVC</t>
  </si>
  <si>
    <t>SERVEROVNA</t>
  </si>
  <si>
    <t>0.03a</t>
  </si>
  <si>
    <t>SKLAD ÚKLIDU</t>
  </si>
  <si>
    <t>0.03b</t>
  </si>
  <si>
    <t>TECHNICKÁ MÍSTNOST</t>
  </si>
  <si>
    <t>LABORATOŘ CHROMATOGRAFIE</t>
  </si>
  <si>
    <t>ÚKLID</t>
  </si>
  <si>
    <t>0.04a</t>
  </si>
  <si>
    <t>VELÍN</t>
  </si>
  <si>
    <t>LABORATOŘ DOJENÍ</t>
  </si>
  <si>
    <t>stěrka</t>
  </si>
  <si>
    <t>VÝUKOVÁ HALA</t>
  </si>
  <si>
    <t>UČEBNA</t>
  </si>
  <si>
    <t>kazetový podhled</t>
  </si>
  <si>
    <t xml:space="preserve">PIVOVAR - VARNA </t>
  </si>
  <si>
    <t>6120-6300</t>
  </si>
  <si>
    <t>obklad ker. 2,80m</t>
  </si>
  <si>
    <t>chemie pouze pro protravinářský provoz, nutnost potravinářského průkazu, úklid možný pouze za dozoru odpovědné osoby</t>
  </si>
  <si>
    <t>LABORATOŘ</t>
  </si>
  <si>
    <t>0.07a</t>
  </si>
  <si>
    <t>CHLAZENÍ VARNY</t>
  </si>
  <si>
    <t>obklad ker. 2,62m</t>
  </si>
  <si>
    <t>LABORATOŘ BRZD</t>
  </si>
  <si>
    <t>0.07b</t>
  </si>
  <si>
    <t>LEŽÁCKÝ SKLEP</t>
  </si>
  <si>
    <t>obklad ker. 2,61m</t>
  </si>
  <si>
    <t>LABORATOŘ SPAL. MOTORŮ</t>
  </si>
  <si>
    <t>0.07c</t>
  </si>
  <si>
    <t>ENERGETIKA PROVOZ</t>
  </si>
  <si>
    <t>6120-6130</t>
  </si>
  <si>
    <t>obklad ker. 1,60m</t>
  </si>
  <si>
    <t>PŘÍPRAVNA MIKROSKOPIE</t>
  </si>
  <si>
    <t>0.07d</t>
  </si>
  <si>
    <t>HYGIENICKÉ ZÁZEMÍ</t>
  </si>
  <si>
    <t>obklad ker. 2,74m</t>
  </si>
  <si>
    <t>SCHODIŠTĚ</t>
  </si>
  <si>
    <t>0.07e</t>
  </si>
  <si>
    <t>SKLEP</t>
  </si>
  <si>
    <t>3090-3400</t>
  </si>
  <si>
    <t>SVAŘOVNA</t>
  </si>
  <si>
    <t>0.07f</t>
  </si>
  <si>
    <t>laminát</t>
  </si>
  <si>
    <t>DÍLNA</t>
  </si>
  <si>
    <t>0.09a</t>
  </si>
  <si>
    <t>SKLAD</t>
  </si>
  <si>
    <t>plechový strop</t>
  </si>
  <si>
    <t>0.09b</t>
  </si>
  <si>
    <t>0.10a</t>
  </si>
  <si>
    <t>KANCELÁŘ/LABORATOŘ</t>
  </si>
  <si>
    <t>0.13a</t>
  </si>
  <si>
    <t>LABORATOŘ METALOGRAFIE</t>
  </si>
  <si>
    <t>0.13b</t>
  </si>
  <si>
    <t>LABORATOŘ MIKROSKOPIE</t>
  </si>
  <si>
    <t>0.13f</t>
  </si>
  <si>
    <t>LABORATOŘ TRIBOTECHNIKY</t>
  </si>
  <si>
    <t>0.15a</t>
  </si>
  <si>
    <t>STROJNÍ TRUHLÁRNA</t>
  </si>
  <si>
    <t>0.15b</t>
  </si>
  <si>
    <t>TRUHLÁRNA</t>
  </si>
  <si>
    <t>0.15c</t>
  </si>
  <si>
    <t>0.15d</t>
  </si>
  <si>
    <t>CHODBA</t>
  </si>
  <si>
    <t>0.15e</t>
  </si>
  <si>
    <t>0.17 a,b,c.</t>
  </si>
  <si>
    <t>pouze některé části</t>
  </si>
  <si>
    <t>0.17a</t>
  </si>
  <si>
    <t>UČEBNA VÝP. TECHNIKY</t>
  </si>
  <si>
    <t>0.17b</t>
  </si>
  <si>
    <t>WC MUŽI</t>
  </si>
  <si>
    <t>antistatické PVC</t>
  </si>
  <si>
    <t>bezprašná malba</t>
  </si>
  <si>
    <t>WC ŽENY</t>
  </si>
  <si>
    <t>0.20</t>
  </si>
  <si>
    <t>0.21</t>
  </si>
  <si>
    <t>0.22</t>
  </si>
  <si>
    <t>0.23</t>
  </si>
  <si>
    <t>0.23a</t>
  </si>
  <si>
    <t>0.23b</t>
  </si>
  <si>
    <t>0.24</t>
  </si>
  <si>
    <t>0.24a</t>
  </si>
  <si>
    <t>0.24b</t>
  </si>
  <si>
    <t>TEMNÁ KOMORA</t>
  </si>
  <si>
    <t>SKLAD KOMPRESORŮ</t>
  </si>
  <si>
    <t>0.25</t>
  </si>
  <si>
    <t>0.26</t>
  </si>
  <si>
    <t>0.27</t>
  </si>
  <si>
    <t>0.28</t>
  </si>
  <si>
    <t>0.28a</t>
  </si>
  <si>
    <t>0.29</t>
  </si>
  <si>
    <t>0.29a</t>
  </si>
  <si>
    <t>0.29b</t>
  </si>
  <si>
    <t>0.30</t>
  </si>
  <si>
    <t>0.31</t>
  </si>
  <si>
    <t>0.32</t>
  </si>
  <si>
    <t>0.34a</t>
  </si>
  <si>
    <t>0.34b</t>
  </si>
  <si>
    <t>0.35</t>
  </si>
  <si>
    <t>0.36</t>
  </si>
  <si>
    <t>0.37</t>
  </si>
  <si>
    <t>0.38</t>
  </si>
  <si>
    <t>0.38a</t>
  </si>
  <si>
    <t>0.39</t>
  </si>
  <si>
    <t>0.40</t>
  </si>
  <si>
    <t>0.40a</t>
  </si>
  <si>
    <t>0.41a</t>
  </si>
  <si>
    <t>0.41b</t>
  </si>
  <si>
    <t>0.41c</t>
  </si>
  <si>
    <t>0.42a</t>
  </si>
  <si>
    <t>0.42b</t>
  </si>
  <si>
    <t>0.43a</t>
  </si>
  <si>
    <t>0.43b</t>
  </si>
  <si>
    <t>0.44</t>
  </si>
  <si>
    <t>0.45</t>
  </si>
  <si>
    <t>0.45a</t>
  </si>
  <si>
    <t>0.48</t>
  </si>
  <si>
    <t>0.49</t>
  </si>
  <si>
    <t>0.50</t>
  </si>
  <si>
    <t>0.51</t>
  </si>
  <si>
    <t>0.52</t>
  </si>
  <si>
    <t>0.53</t>
  </si>
  <si>
    <t>0.53a</t>
  </si>
  <si>
    <t>0.54</t>
  </si>
  <si>
    <t>0.55</t>
  </si>
  <si>
    <t>0.56</t>
  </si>
  <si>
    <t>0.57</t>
  </si>
  <si>
    <t>0.58</t>
  </si>
  <si>
    <t>0.59</t>
  </si>
  <si>
    <t>0.60</t>
  </si>
  <si>
    <t>0.61</t>
  </si>
  <si>
    <t>0.62</t>
  </si>
  <si>
    <t>0.63</t>
  </si>
  <si>
    <t>0.64</t>
  </si>
  <si>
    <t>0.65</t>
  </si>
  <si>
    <t>0.66</t>
  </si>
  <si>
    <t>0.67</t>
  </si>
  <si>
    <t>0.68</t>
  </si>
  <si>
    <t>0.69</t>
  </si>
  <si>
    <t>0.70a</t>
  </si>
  <si>
    <t>0.70b</t>
  </si>
  <si>
    <t>0.70c</t>
  </si>
  <si>
    <t>0.71</t>
  </si>
  <si>
    <t>0.72</t>
  </si>
  <si>
    <t>dlažba kyselinovzd.</t>
  </si>
  <si>
    <t>0.73</t>
  </si>
  <si>
    <t>0.74</t>
  </si>
  <si>
    <t>žáruvzdor. dlažba</t>
  </si>
  <si>
    <t>0.75</t>
  </si>
  <si>
    <t>0.76</t>
  </si>
  <si>
    <t>0.77</t>
  </si>
  <si>
    <t>0.78</t>
  </si>
  <si>
    <t>0.79</t>
  </si>
  <si>
    <t>0.79a</t>
  </si>
  <si>
    <t>0.79b</t>
  </si>
  <si>
    <t>0.79c</t>
  </si>
  <si>
    <t>0.80</t>
  </si>
  <si>
    <t>0.81</t>
  </si>
  <si>
    <t>0.82</t>
  </si>
  <si>
    <t>0.83</t>
  </si>
  <si>
    <t>0.84</t>
  </si>
  <si>
    <t>0.85</t>
  </si>
  <si>
    <t>0.86</t>
  </si>
  <si>
    <t>CELKEM 1.NP</t>
  </si>
  <si>
    <t>ČZU - TF - DÍLNY - TABULKA MÍSTNOSTÍ 2.NP</t>
  </si>
  <si>
    <t>0.07g</t>
  </si>
  <si>
    <t>PIVOVAR - UČEBNA</t>
  </si>
  <si>
    <t>PIVOVAR - PŘÍPRAVNA</t>
  </si>
  <si>
    <t>0.07h</t>
  </si>
  <si>
    <t>0.07i</t>
  </si>
  <si>
    <t>KONZULTAČNÍ MÍSTNOST</t>
  </si>
  <si>
    <t>0.07j</t>
  </si>
  <si>
    <t xml:space="preserve">obklad ker. 2,02m </t>
  </si>
  <si>
    <t>0.09c</t>
  </si>
  <si>
    <t>0.09d</t>
  </si>
  <si>
    <t>0.09e</t>
  </si>
  <si>
    <t>ocel</t>
  </si>
  <si>
    <t>0.09f</t>
  </si>
  <si>
    <t>0.10b</t>
  </si>
  <si>
    <t>0.10c</t>
  </si>
  <si>
    <t>2520-2530-2550</t>
  </si>
  <si>
    <t>strop/SDK podhled</t>
  </si>
  <si>
    <t>0.13c</t>
  </si>
  <si>
    <t>0.13d</t>
  </si>
  <si>
    <t>0.13e</t>
  </si>
  <si>
    <t>0.13g</t>
  </si>
  <si>
    <t>0.13h</t>
  </si>
  <si>
    <t>0.15f</t>
  </si>
  <si>
    <t>0.15g</t>
  </si>
  <si>
    <t>0.15h</t>
  </si>
  <si>
    <t>2690-2860</t>
  </si>
  <si>
    <t>0.15i</t>
  </si>
  <si>
    <t>CELKEM 2.NP</t>
  </si>
  <si>
    <t>Četnost úklidu</t>
  </si>
  <si>
    <t>koef.</t>
  </si>
  <si>
    <t xml:space="preserve"> Sociální zařízení </t>
  </si>
  <si>
    <t>Chodby, schodiště a ostatní</t>
  </si>
  <si>
    <t>Laboratoře</t>
  </si>
  <si>
    <t>výtah</t>
  </si>
  <si>
    <t>ČZU - AF - hlavní budova -  4.patro - 5np</t>
  </si>
  <si>
    <t>Využití místnosti(předpokládané)</t>
  </si>
  <si>
    <t>Využití místnosti(reálné)</t>
  </si>
  <si>
    <t>Podlaha</t>
  </si>
  <si>
    <t xml:space="preserve">Četnost </t>
  </si>
  <si>
    <t>Navrhovaná četnost</t>
  </si>
  <si>
    <t>mimoř - sklady apod</t>
  </si>
  <si>
    <t>Kancelář</t>
  </si>
  <si>
    <t>3xT</t>
  </si>
  <si>
    <t xml:space="preserve">401a  </t>
  </si>
  <si>
    <t xml:space="preserve">401a   </t>
  </si>
  <si>
    <t>5xT</t>
  </si>
  <si>
    <t>1xM</t>
  </si>
  <si>
    <t xml:space="preserve">402a   </t>
  </si>
  <si>
    <t xml:space="preserve">402b   </t>
  </si>
  <si>
    <t xml:space="preserve">402c   </t>
  </si>
  <si>
    <t>406a</t>
  </si>
  <si>
    <t xml:space="preserve">406b   </t>
  </si>
  <si>
    <t>Posluchárna</t>
  </si>
  <si>
    <t>laboratoř posluchačů</t>
  </si>
  <si>
    <t>chladící box</t>
  </si>
  <si>
    <t xml:space="preserve">415a   </t>
  </si>
  <si>
    <t>cvičebna</t>
  </si>
  <si>
    <t xml:space="preserve">417a   </t>
  </si>
  <si>
    <t xml:space="preserve">417b   </t>
  </si>
  <si>
    <t>lab. cvičebna</t>
  </si>
  <si>
    <t>419a</t>
  </si>
  <si>
    <t>s</t>
  </si>
  <si>
    <t>umývárna lab. skla</t>
  </si>
  <si>
    <t>lité teraco</t>
  </si>
  <si>
    <t xml:space="preserve">430a   </t>
  </si>
  <si>
    <t>431</t>
  </si>
  <si>
    <t xml:space="preserve">432a   </t>
  </si>
  <si>
    <t xml:space="preserve">432b   </t>
  </si>
  <si>
    <t>pvc + teraco</t>
  </si>
  <si>
    <t xml:space="preserve">495a   </t>
  </si>
  <si>
    <t xml:space="preserve">495b   </t>
  </si>
  <si>
    <t xml:space="preserve">495c   </t>
  </si>
  <si>
    <t xml:space="preserve">495d   </t>
  </si>
  <si>
    <t xml:space="preserve">495e   </t>
  </si>
  <si>
    <t xml:space="preserve">495f   </t>
  </si>
  <si>
    <t>ČZU - AF - hlavní budova -  3.patro - 4np</t>
  </si>
  <si>
    <t>Četnost</t>
  </si>
  <si>
    <t>desifenkce potravin</t>
  </si>
  <si>
    <t>přípravna materiálu</t>
  </si>
  <si>
    <t>321a</t>
  </si>
  <si>
    <t>přípravna</t>
  </si>
  <si>
    <t>spalovna</t>
  </si>
  <si>
    <t xml:space="preserve">334a   </t>
  </si>
  <si>
    <t xml:space="preserve">334b   </t>
  </si>
  <si>
    <t xml:space="preserve">336a   </t>
  </si>
  <si>
    <t xml:space="preserve">338a   </t>
  </si>
  <si>
    <t xml:space="preserve">338b   </t>
  </si>
  <si>
    <t xml:space="preserve">339a   </t>
  </si>
  <si>
    <t>PC rozvaděč</t>
  </si>
  <si>
    <t>počítač. učebna</t>
  </si>
  <si>
    <t xml:space="preserve">395a   </t>
  </si>
  <si>
    <t xml:space="preserve">395b   </t>
  </si>
  <si>
    <t>keramická dl., plovoucí podl.</t>
  </si>
  <si>
    <t xml:space="preserve">395c   </t>
  </si>
  <si>
    <t xml:space="preserve">395d   </t>
  </si>
  <si>
    <t xml:space="preserve">395e   </t>
  </si>
  <si>
    <t xml:space="preserve">395f   </t>
  </si>
  <si>
    <t>ČZU - AF - hlavní budova -  2.patro - 3np</t>
  </si>
  <si>
    <t>202a</t>
  </si>
  <si>
    <t>202b</t>
  </si>
  <si>
    <t xml:space="preserve">208a   </t>
  </si>
  <si>
    <t>pvc + koberec</t>
  </si>
  <si>
    <t xml:space="preserve">216a   </t>
  </si>
  <si>
    <t xml:space="preserve">218a   </t>
  </si>
  <si>
    <t>keram. dl.</t>
  </si>
  <si>
    <t xml:space="preserve">225a   </t>
  </si>
  <si>
    <t>laboratoř (cvičebna)</t>
  </si>
  <si>
    <t xml:space="preserve">228a   </t>
  </si>
  <si>
    <t>termostat</t>
  </si>
  <si>
    <t xml:space="preserve">228b   </t>
  </si>
  <si>
    <t xml:space="preserve">228c   </t>
  </si>
  <si>
    <t>seminární cvičebna</t>
  </si>
  <si>
    <t xml:space="preserve">295a   </t>
  </si>
  <si>
    <t xml:space="preserve">295c   </t>
  </si>
  <si>
    <t xml:space="preserve">295d   </t>
  </si>
  <si>
    <t xml:space="preserve">295e   </t>
  </si>
  <si>
    <t xml:space="preserve">295f   </t>
  </si>
  <si>
    <t xml:space="preserve">295g   </t>
  </si>
  <si>
    <t>ČZU - AF - hlavní budova -  1.patro - 2np</t>
  </si>
  <si>
    <t>103a</t>
  </si>
  <si>
    <t xml:space="preserve">103a   </t>
  </si>
  <si>
    <t xml:space="preserve">103c   </t>
  </si>
  <si>
    <t xml:space="preserve">103b   </t>
  </si>
  <si>
    <t>108, 108a</t>
  </si>
  <si>
    <t>Archiv</t>
  </si>
  <si>
    <t>1xT</t>
  </si>
  <si>
    <t xml:space="preserve">114 </t>
  </si>
  <si>
    <t xml:space="preserve">114  </t>
  </si>
  <si>
    <t xml:space="preserve">114a   </t>
  </si>
  <si>
    <t xml:space="preserve">114a  </t>
  </si>
  <si>
    <t xml:space="preserve">121a   </t>
  </si>
  <si>
    <t>124a</t>
  </si>
  <si>
    <t xml:space="preserve">127a   </t>
  </si>
  <si>
    <t>archiv</t>
  </si>
  <si>
    <t>váhovna</t>
  </si>
  <si>
    <t xml:space="preserve">144a   </t>
  </si>
  <si>
    <t xml:space="preserve">195a   </t>
  </si>
  <si>
    <t xml:space="preserve">195b   </t>
  </si>
  <si>
    <t xml:space="preserve">195c   </t>
  </si>
  <si>
    <t xml:space="preserve">195d   </t>
  </si>
  <si>
    <t xml:space="preserve">195e   </t>
  </si>
  <si>
    <t xml:space="preserve">195f   </t>
  </si>
  <si>
    <t>ČZU - AF - hlavní budova -  přízemí - 1np</t>
  </si>
  <si>
    <t xml:space="preserve">Podlaha </t>
  </si>
  <si>
    <t>01</t>
  </si>
  <si>
    <t>02</t>
  </si>
  <si>
    <t xml:space="preserve">02a   </t>
  </si>
  <si>
    <t>03</t>
  </si>
  <si>
    <t>04</t>
  </si>
  <si>
    <t>06</t>
  </si>
  <si>
    <t>07</t>
  </si>
  <si>
    <t>plovoucí podl.</t>
  </si>
  <si>
    <t>08</t>
  </si>
  <si>
    <t>09</t>
  </si>
  <si>
    <t xml:space="preserve">10a   </t>
  </si>
  <si>
    <t xml:space="preserve">10b   </t>
  </si>
  <si>
    <t xml:space="preserve">12a   </t>
  </si>
  <si>
    <t xml:space="preserve">12b   </t>
  </si>
  <si>
    <t>18a</t>
  </si>
  <si>
    <t>PC učebna</t>
  </si>
  <si>
    <t xml:space="preserve">22a   </t>
  </si>
  <si>
    <t xml:space="preserve">25a   </t>
  </si>
  <si>
    <t xml:space="preserve">30a   </t>
  </si>
  <si>
    <t xml:space="preserve">32a   </t>
  </si>
  <si>
    <t xml:space="preserve">32b   </t>
  </si>
  <si>
    <t xml:space="preserve">34a   </t>
  </si>
  <si>
    <t xml:space="preserve">34b   </t>
  </si>
  <si>
    <t xml:space="preserve">34c   </t>
  </si>
  <si>
    <t>sprcha</t>
  </si>
  <si>
    <t xml:space="preserve">35a   </t>
  </si>
  <si>
    <t>vrátnice</t>
  </si>
  <si>
    <t>větrací šachta</t>
  </si>
  <si>
    <t>AI.</t>
  </si>
  <si>
    <t>AII.</t>
  </si>
  <si>
    <t>AIII.</t>
  </si>
  <si>
    <t>AIV.</t>
  </si>
  <si>
    <t>rozvodna</t>
  </si>
  <si>
    <t>lité teraco (beton)</t>
  </si>
  <si>
    <t>přívod vzduchu</t>
  </si>
  <si>
    <t>trafostanice</t>
  </si>
  <si>
    <t>wc invalid.</t>
  </si>
  <si>
    <t>82</t>
  </si>
  <si>
    <t>bufet</t>
  </si>
  <si>
    <t>82a</t>
  </si>
  <si>
    <t>zimní zahrada</t>
  </si>
  <si>
    <t>82b</t>
  </si>
  <si>
    <t>šatna bufetu</t>
  </si>
  <si>
    <t>A54</t>
  </si>
  <si>
    <t>A55</t>
  </si>
  <si>
    <t>keramická dl., koberec</t>
  </si>
  <si>
    <t xml:space="preserve">95a   </t>
  </si>
  <si>
    <t xml:space="preserve">95b   </t>
  </si>
  <si>
    <t xml:space="preserve">95c   </t>
  </si>
  <si>
    <t xml:space="preserve">95d   </t>
  </si>
  <si>
    <t xml:space="preserve">95e   </t>
  </si>
  <si>
    <t xml:space="preserve">95g   </t>
  </si>
  <si>
    <t xml:space="preserve">95h   </t>
  </si>
  <si>
    <t xml:space="preserve">95i   </t>
  </si>
  <si>
    <t>ČZU - AF - hlavní budova -  suterén - 1pp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</si>
  <si>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</si>
  <si>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</si>
  <si>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</si>
  <si>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</si>
  <si>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</si>
  <si>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</si>
  <si>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</si>
  <si>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</si>
  <si>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</si>
  <si>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 xml:space="preserve">S09a   </t>
  </si>
  <si>
    <t xml:space="preserve">S09b   </t>
  </si>
  <si>
    <t>chladící boxy</t>
  </si>
  <si>
    <t>S10</t>
  </si>
  <si>
    <t>S11</t>
  </si>
  <si>
    <t>S12</t>
  </si>
  <si>
    <t>S12a</t>
  </si>
  <si>
    <t>S13</t>
  </si>
  <si>
    <t>S14a</t>
  </si>
  <si>
    <t>S14b</t>
  </si>
  <si>
    <t>S15</t>
  </si>
  <si>
    <t>rozborovna</t>
  </si>
  <si>
    <t>S16</t>
  </si>
  <si>
    <t>S17</t>
  </si>
  <si>
    <t>S18</t>
  </si>
  <si>
    <t>S19</t>
  </si>
  <si>
    <t>S20</t>
  </si>
  <si>
    <t xml:space="preserve">S20a   </t>
  </si>
  <si>
    <t xml:space="preserve">S20b   </t>
  </si>
  <si>
    <t xml:space="preserve">S20c   </t>
  </si>
  <si>
    <t>S21</t>
  </si>
  <si>
    <t xml:space="preserve">S21a   </t>
  </si>
  <si>
    <t>temná komora</t>
  </si>
  <si>
    <t>S22</t>
  </si>
  <si>
    <t>S23</t>
  </si>
  <si>
    <t>S24</t>
  </si>
  <si>
    <t>S24a</t>
  </si>
  <si>
    <t>S25</t>
  </si>
  <si>
    <t>šatna úklidu</t>
  </si>
  <si>
    <t xml:space="preserve">S25a   </t>
  </si>
  <si>
    <t>S25b</t>
  </si>
  <si>
    <t>sociální zařízení</t>
  </si>
  <si>
    <t>S25c</t>
  </si>
  <si>
    <t>WC</t>
  </si>
  <si>
    <t>S26</t>
  </si>
  <si>
    <t>S26a</t>
  </si>
  <si>
    <t>kompresorovna</t>
  </si>
  <si>
    <t>S27a</t>
  </si>
  <si>
    <t>27a</t>
  </si>
  <si>
    <t>kancelář doktorandi</t>
  </si>
  <si>
    <t>S27b</t>
  </si>
  <si>
    <t>27b</t>
  </si>
  <si>
    <t>S28</t>
  </si>
  <si>
    <t>S29</t>
  </si>
  <si>
    <t>S30</t>
  </si>
  <si>
    <t>S31</t>
  </si>
  <si>
    <t>S32</t>
  </si>
  <si>
    <t>S33</t>
  </si>
  <si>
    <t>S34</t>
  </si>
  <si>
    <t>S35</t>
  </si>
  <si>
    <t>kabelové závěry</t>
  </si>
  <si>
    <t>S36</t>
  </si>
  <si>
    <t xml:space="preserve">S36a   </t>
  </si>
  <si>
    <t xml:space="preserve">S36b   </t>
  </si>
  <si>
    <t>S37</t>
  </si>
  <si>
    <t>S38</t>
  </si>
  <si>
    <t xml:space="preserve">S38a   </t>
  </si>
  <si>
    <t>S39</t>
  </si>
  <si>
    <t xml:space="preserve">S39a   </t>
  </si>
  <si>
    <t>S40</t>
  </si>
  <si>
    <t xml:space="preserve">S40a   </t>
  </si>
  <si>
    <t>depozitář</t>
  </si>
  <si>
    <t>S41</t>
  </si>
  <si>
    <t>S42</t>
  </si>
  <si>
    <t>S42a</t>
  </si>
  <si>
    <t>S43</t>
  </si>
  <si>
    <t xml:space="preserve">S43b   </t>
  </si>
  <si>
    <t>S44</t>
  </si>
  <si>
    <t>S45</t>
  </si>
  <si>
    <t>teracová dl.</t>
  </si>
  <si>
    <t>S46</t>
  </si>
  <si>
    <t xml:space="preserve">S46a   </t>
  </si>
  <si>
    <t xml:space="preserve">S46b   </t>
  </si>
  <si>
    <t xml:space="preserve">S46c   </t>
  </si>
  <si>
    <t xml:space="preserve">S46d   </t>
  </si>
  <si>
    <t>S47</t>
  </si>
  <si>
    <t>S48</t>
  </si>
  <si>
    <t>S50</t>
  </si>
  <si>
    <t>plynová kotelna</t>
  </si>
  <si>
    <t>S51</t>
  </si>
  <si>
    <t>S52</t>
  </si>
  <si>
    <t>S53</t>
  </si>
  <si>
    <t>sklad toxických látek</t>
  </si>
  <si>
    <t>S54</t>
  </si>
  <si>
    <t xml:space="preserve">S54a   </t>
  </si>
  <si>
    <t>S55</t>
  </si>
  <si>
    <t>S56</t>
  </si>
  <si>
    <t>S92</t>
  </si>
  <si>
    <t>S93</t>
  </si>
  <si>
    <t>S94</t>
  </si>
  <si>
    <t xml:space="preserve">S95a   </t>
  </si>
  <si>
    <t xml:space="preserve">S95f   </t>
  </si>
  <si>
    <t>ČZU - AF - hlavní budova -  střecha - 6np</t>
  </si>
  <si>
    <t>četnost</t>
  </si>
  <si>
    <t xml:space="preserve">501   </t>
  </si>
  <si>
    <t>Vodafone</t>
  </si>
  <si>
    <t>nepřístupné</t>
  </si>
  <si>
    <t xml:space="preserve">502   </t>
  </si>
  <si>
    <t>strojovna výtahů</t>
  </si>
  <si>
    <t xml:space="preserve">503   </t>
  </si>
  <si>
    <t>dílna</t>
  </si>
  <si>
    <t xml:space="preserve">504   </t>
  </si>
  <si>
    <t xml:space="preserve">505   </t>
  </si>
  <si>
    <t>2,60(2,24)</t>
  </si>
  <si>
    <t>keram.dl</t>
  </si>
  <si>
    <t>střecha</t>
  </si>
  <si>
    <t>506</t>
  </si>
  <si>
    <t>asfaltová lepenka</t>
  </si>
  <si>
    <t xml:space="preserve">591   </t>
  </si>
  <si>
    <t>1.PP</t>
  </si>
  <si>
    <t>č.m.</t>
  </si>
  <si>
    <t>Katedra</t>
  </si>
  <si>
    <t>Rozpis</t>
  </si>
  <si>
    <t>Účel místnosti</t>
  </si>
  <si>
    <t>pozn.</t>
  </si>
  <si>
    <t>Plocha v m2</t>
  </si>
  <si>
    <t>Využití místnosti (přepokládané)</t>
  </si>
  <si>
    <t>Povrch</t>
  </si>
  <si>
    <t>001</t>
  </si>
  <si>
    <t>S</t>
  </si>
  <si>
    <t>Sklad</t>
  </si>
  <si>
    <t>Litá podlaha</t>
  </si>
  <si>
    <t>Součet z Plocha v m2</t>
  </si>
  <si>
    <t>002</t>
  </si>
  <si>
    <t>KO</t>
  </si>
  <si>
    <t>Zádveří-vstup do 1.PP</t>
  </si>
  <si>
    <t>002a</t>
  </si>
  <si>
    <t>G</t>
  </si>
  <si>
    <t>Garáž-jízdní kola</t>
  </si>
  <si>
    <t>002b</t>
  </si>
  <si>
    <t>Garáž-motocykly</t>
  </si>
  <si>
    <t>003</t>
  </si>
  <si>
    <t>Výtahová šachta "V1"</t>
  </si>
  <si>
    <t>Bezprašný nátěr</t>
  </si>
  <si>
    <t>004</t>
  </si>
  <si>
    <t>Výtahová šachta "V2"</t>
  </si>
  <si>
    <t>005a</t>
  </si>
  <si>
    <t>TM</t>
  </si>
  <si>
    <t>Rozvodna NN</t>
  </si>
  <si>
    <t>Dielektrický koberec</t>
  </si>
  <si>
    <t>005b</t>
  </si>
  <si>
    <t>Ústředna nouzového osvětlení</t>
  </si>
  <si>
    <t>006</t>
  </si>
  <si>
    <t>Strojovna VZT+chlazení</t>
  </si>
  <si>
    <t>007</t>
  </si>
  <si>
    <t>KZR</t>
  </si>
  <si>
    <t>V</t>
  </si>
  <si>
    <t>Experimentální místnost</t>
  </si>
  <si>
    <t>008</t>
  </si>
  <si>
    <t>Pozorovací komora</t>
  </si>
  <si>
    <t>009</t>
  </si>
  <si>
    <t>010</t>
  </si>
  <si>
    <t>011</t>
  </si>
  <si>
    <t>Chodba</t>
  </si>
  <si>
    <t>012</t>
  </si>
  <si>
    <t>Dieselagregát</t>
  </si>
  <si>
    <t>013</t>
  </si>
  <si>
    <t>Kotelna+ohřev TUV</t>
  </si>
  <si>
    <t>014</t>
  </si>
  <si>
    <t>Schodiště</t>
  </si>
  <si>
    <t>Keramická dlažba</t>
  </si>
  <si>
    <t>015</t>
  </si>
  <si>
    <t>Plocha celkem</t>
  </si>
  <si>
    <t>1.NP</t>
  </si>
  <si>
    <t>101</t>
  </si>
  <si>
    <t>Zádveří</t>
  </si>
  <si>
    <t>102</t>
  </si>
  <si>
    <t>místnost IT</t>
  </si>
  <si>
    <t>Kanceláře</t>
  </si>
  <si>
    <t>Zátěžový koberec</t>
  </si>
  <si>
    <t>103</t>
  </si>
  <si>
    <t>105</t>
  </si>
  <si>
    <t>Schodiště kruhové</t>
  </si>
  <si>
    <t>KOZE</t>
  </si>
  <si>
    <t>Zátěžový vinyl</t>
  </si>
  <si>
    <t>Sociální zařízení</t>
  </si>
  <si>
    <t>107</t>
  </si>
  <si>
    <t>Učebna KOZE</t>
  </si>
  <si>
    <t>110</t>
  </si>
  <si>
    <t>SO</t>
  </si>
  <si>
    <t>WC ženy</t>
  </si>
  <si>
    <t>112</t>
  </si>
  <si>
    <t>KSZ</t>
  </si>
  <si>
    <t>Učebna KSZ</t>
  </si>
  <si>
    <t>UčebnaKSZ</t>
  </si>
  <si>
    <t>115</t>
  </si>
  <si>
    <t>WC-mobilní s asistencí</t>
  </si>
  <si>
    <t>WC-muži</t>
  </si>
  <si>
    <t>Úklidová komora</t>
  </si>
  <si>
    <t>WC-ženy</t>
  </si>
  <si>
    <t>119</t>
  </si>
  <si>
    <t>Sklad KZR</t>
  </si>
  <si>
    <t>Učebna KZR</t>
  </si>
  <si>
    <t>VS1</t>
  </si>
  <si>
    <t>Venkovní schodiště</t>
  </si>
  <si>
    <t>VS2</t>
  </si>
  <si>
    <t xml:space="preserve">Plocha venkovní </t>
  </si>
  <si>
    <t>2.NP</t>
  </si>
  <si>
    <t>201</t>
  </si>
  <si>
    <t>L</t>
  </si>
  <si>
    <t>Preparační místnost KZR-bezobratlí</t>
  </si>
  <si>
    <t>203</t>
  </si>
  <si>
    <t>Technická místnost KZR</t>
  </si>
  <si>
    <t>204</t>
  </si>
  <si>
    <t>Preparační místnost KZR-obratlovci</t>
  </si>
  <si>
    <t>Laboratoř KZR-Genetická</t>
  </si>
  <si>
    <t>206</t>
  </si>
  <si>
    <t>Laboratoř KZR-Genetická izolační</t>
  </si>
  <si>
    <t>207</t>
  </si>
  <si>
    <t>Laboratoř KZR-vyšetřovna</t>
  </si>
  <si>
    <t>208</t>
  </si>
  <si>
    <t>Laboratoř KZR-lab. Pro zpracování biolog. Materiálu</t>
  </si>
  <si>
    <t>209</t>
  </si>
  <si>
    <t>211</t>
  </si>
  <si>
    <t>Laboratoř analytická+mléko</t>
  </si>
  <si>
    <t>212</t>
  </si>
  <si>
    <t>Laboratoř KSZ-maso-vejce-mikrobiologie</t>
  </si>
  <si>
    <t>213</t>
  </si>
  <si>
    <t>Laboratoř KSZ-reprodukce</t>
  </si>
  <si>
    <t>214</t>
  </si>
  <si>
    <t>WC mobilní s asistencí</t>
  </si>
  <si>
    <t>215</t>
  </si>
  <si>
    <t>WC+Sprcha-muži</t>
  </si>
  <si>
    <t>216</t>
  </si>
  <si>
    <t>217</t>
  </si>
  <si>
    <t>WC+Sprcha-ženy</t>
  </si>
  <si>
    <t>218</t>
  </si>
  <si>
    <t>K</t>
  </si>
  <si>
    <t>sklad KSZ</t>
  </si>
  <si>
    <t>219</t>
  </si>
  <si>
    <t>Laboratoř KSZ-histologie</t>
  </si>
  <si>
    <t>220</t>
  </si>
  <si>
    <t>Laboratoř KSZ-příprava vzorků</t>
  </si>
  <si>
    <t>221</t>
  </si>
  <si>
    <t>Laboratoř KSZ-genetika špinavá</t>
  </si>
  <si>
    <t>222</t>
  </si>
  <si>
    <t>Laboratoř KSZ-genetika čistá</t>
  </si>
  <si>
    <t>223</t>
  </si>
  <si>
    <t>224</t>
  </si>
  <si>
    <t>225</t>
  </si>
  <si>
    <t>Laboratoř KOZE</t>
  </si>
  <si>
    <t>226</t>
  </si>
  <si>
    <t>Spojovací chodba</t>
  </si>
  <si>
    <t>227</t>
  </si>
  <si>
    <t>Technická místnost KOZE</t>
  </si>
  <si>
    <t>228</t>
  </si>
  <si>
    <t>Šatna</t>
  </si>
  <si>
    <t>229</t>
  </si>
  <si>
    <t>Laboratoř čistá KOZE</t>
  </si>
  <si>
    <t>230</t>
  </si>
  <si>
    <t>231</t>
  </si>
  <si>
    <t>3.NP</t>
  </si>
  <si>
    <t>301</t>
  </si>
  <si>
    <t>302</t>
  </si>
  <si>
    <t>studovna doktorandů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</si>
  <si>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</si>
  <si>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</si>
  <si>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</si>
  <si>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</si>
  <si>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</si>
  <si>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</si>
  <si>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</si>
  <si>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</si>
  <si>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</si>
  <si>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Sklad KOZE</t>
  </si>
  <si>
    <t>312</t>
  </si>
  <si>
    <t>313</t>
  </si>
  <si>
    <t>pracovna pedagogů</t>
  </si>
  <si>
    <t>314</t>
  </si>
  <si>
    <t>315</t>
  </si>
  <si>
    <t>316</t>
  </si>
  <si>
    <t>317</t>
  </si>
  <si>
    <t>318</t>
  </si>
  <si>
    <t>319</t>
  </si>
  <si>
    <t>320</t>
  </si>
  <si>
    <t>Kancelář-tajemník</t>
  </si>
  <si>
    <t>321</t>
  </si>
  <si>
    <t>5xt</t>
  </si>
  <si>
    <t>322</t>
  </si>
  <si>
    <t>323</t>
  </si>
  <si>
    <t>Výtahová šachta"V2"</t>
  </si>
  <si>
    <t>324</t>
  </si>
  <si>
    <t>Pracovna ped. VK KSZ</t>
  </si>
  <si>
    <t>325</t>
  </si>
  <si>
    <t>sekretariát</t>
  </si>
  <si>
    <t>326</t>
  </si>
  <si>
    <t>ZM</t>
  </si>
  <si>
    <t xml:space="preserve"> zasedací místnost ped</t>
  </si>
  <si>
    <t>327</t>
  </si>
  <si>
    <t>328</t>
  </si>
  <si>
    <t>WC mobilní</t>
  </si>
  <si>
    <t>329</t>
  </si>
  <si>
    <t>Čajová kuchyňka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</si>
  <si>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</si>
  <si>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</si>
  <si>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</si>
  <si>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</si>
  <si>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</si>
  <si>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</si>
  <si>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</si>
  <si>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</si>
  <si>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</si>
  <si>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Sbírková místnost</t>
  </si>
  <si>
    <t>339</t>
  </si>
  <si>
    <t>340</t>
  </si>
  <si>
    <t>341</t>
  </si>
  <si>
    <t>Antistatické PVC</t>
  </si>
  <si>
    <t>342</t>
  </si>
  <si>
    <t>Sklad KSZ</t>
  </si>
  <si>
    <t>343</t>
  </si>
  <si>
    <t>Knihovna KSZ</t>
  </si>
  <si>
    <t>344</t>
  </si>
  <si>
    <t>Archiv KSZ</t>
  </si>
  <si>
    <t>4.NP</t>
  </si>
  <si>
    <t>401</t>
  </si>
  <si>
    <t>402</t>
  </si>
  <si>
    <t>403</t>
  </si>
  <si>
    <t>404</t>
  </si>
  <si>
    <t>405</t>
  </si>
  <si>
    <t>406</t>
  </si>
  <si>
    <t>409</t>
  </si>
  <si>
    <t>410</t>
  </si>
  <si>
    <t>411</t>
  </si>
  <si>
    <t>Pracovna ped. VK KOZE</t>
  </si>
  <si>
    <t>412</t>
  </si>
  <si>
    <t>sekretariát KZR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</si>
  <si>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</si>
  <si>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</si>
  <si>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</si>
  <si>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</si>
  <si>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</si>
  <si>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</si>
  <si>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</si>
  <si>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</si>
  <si>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</si>
  <si>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Pracovna ped.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</si>
  <si>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</si>
  <si>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</si>
  <si>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</si>
  <si>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</si>
  <si>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</si>
  <si>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</si>
  <si>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</si>
  <si>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</si>
  <si>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</si>
  <si>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sekretariát KOZE</t>
  </si>
  <si>
    <t>432</t>
  </si>
  <si>
    <t>tajemník KOZE</t>
  </si>
  <si>
    <t>433</t>
  </si>
  <si>
    <t>434</t>
  </si>
  <si>
    <t>435</t>
  </si>
  <si>
    <t>Pracovna doktorandi</t>
  </si>
  <si>
    <t>436</t>
  </si>
  <si>
    <t>437</t>
  </si>
  <si>
    <t>438</t>
  </si>
  <si>
    <t>439</t>
  </si>
  <si>
    <t>440</t>
  </si>
  <si>
    <t>441</t>
  </si>
  <si>
    <t>442</t>
  </si>
  <si>
    <t>KZR,KOZE</t>
  </si>
  <si>
    <t>Zasedací místnost ped.</t>
  </si>
  <si>
    <t>Plocha  celkem</t>
  </si>
  <si>
    <t>Plocha celkem 1.PP-4.NP</t>
  </si>
  <si>
    <t>1NP</t>
  </si>
  <si>
    <t>o tuto položku je navýšen denní úklid FAPPZ B, aby bylo možno soutěžit četnost5x týdně a zároveň bylprováděn úklid WC v 1NP 2x denně</t>
  </si>
  <si>
    <t xml:space="preserve">Využití místnosti </t>
  </si>
  <si>
    <t>Název</t>
  </si>
  <si>
    <t xml:space="preserve"> Chodby, schodiště a ostatní</t>
  </si>
  <si>
    <t>Noraplan</t>
  </si>
  <si>
    <t>Dlažba</t>
  </si>
  <si>
    <t xml:space="preserve"> Laboratoře</t>
  </si>
  <si>
    <t xml:space="preserve"> Kanceláře </t>
  </si>
  <si>
    <t>Výtah</t>
  </si>
  <si>
    <t>Mazazanina</t>
  </si>
  <si>
    <t>Umývárna</t>
  </si>
  <si>
    <t>Technická místnost</t>
  </si>
  <si>
    <t>Pitevna</t>
  </si>
  <si>
    <t xml:space="preserve">2.NP </t>
  </si>
  <si>
    <t>Žula</t>
  </si>
  <si>
    <t>Granit</t>
  </si>
  <si>
    <t>Sprcha</t>
  </si>
  <si>
    <t>ČZU - psinec -  1np</t>
  </si>
  <si>
    <t>kód místnosti</t>
  </si>
  <si>
    <t>1NP-01</t>
  </si>
  <si>
    <t>1NP-02</t>
  </si>
  <si>
    <t>1NP-03</t>
  </si>
  <si>
    <t>obkl. 1,17</t>
  </si>
  <si>
    <t>1NP-04</t>
  </si>
  <si>
    <t>1NP-05</t>
  </si>
  <si>
    <t>obkl.1,25</t>
  </si>
  <si>
    <t>1NP-06</t>
  </si>
  <si>
    <t>1NP-07</t>
  </si>
  <si>
    <t>1NP-08</t>
  </si>
  <si>
    <t>obkl.2,10</t>
  </si>
  <si>
    <t>ošetřovna</t>
  </si>
  <si>
    <t>1NP-09</t>
  </si>
  <si>
    <t>1NP-10</t>
  </si>
  <si>
    <t>šatna</t>
  </si>
  <si>
    <t>1NP-11</t>
  </si>
  <si>
    <t>1NP-13</t>
  </si>
  <si>
    <t>1NP-14</t>
  </si>
  <si>
    <t>1NP-15</t>
  </si>
  <si>
    <t>kotec</t>
  </si>
  <si>
    <t>1NP-16</t>
  </si>
  <si>
    <t>1NP-18</t>
  </si>
  <si>
    <t>1NP-19</t>
  </si>
  <si>
    <t>1NP-20A</t>
  </si>
  <si>
    <t>20a</t>
  </si>
  <si>
    <t>asfalt</t>
  </si>
  <si>
    <t>1NP-20B</t>
  </si>
  <si>
    <t>20b</t>
  </si>
  <si>
    <t>1NP-21A</t>
  </si>
  <si>
    <t>21a</t>
  </si>
  <si>
    <t>1NP-21B</t>
  </si>
  <si>
    <t>21b</t>
  </si>
  <si>
    <t>1NP-22A</t>
  </si>
  <si>
    <t>22a</t>
  </si>
  <si>
    <t>1NP-22B</t>
  </si>
  <si>
    <t>22b</t>
  </si>
  <si>
    <t>1NP-23A</t>
  </si>
  <si>
    <t>23a</t>
  </si>
  <si>
    <t>1NP-23B</t>
  </si>
  <si>
    <t>23b</t>
  </si>
  <si>
    <t>1NP-24A</t>
  </si>
  <si>
    <t>24a</t>
  </si>
  <si>
    <t>1NP-24B</t>
  </si>
  <si>
    <t>24b</t>
  </si>
  <si>
    <t>1NP-25A</t>
  </si>
  <si>
    <t>25a</t>
  </si>
  <si>
    <t>1NP-25B</t>
  </si>
  <si>
    <t>25b</t>
  </si>
  <si>
    <t>1NP-26A</t>
  </si>
  <si>
    <t>26a</t>
  </si>
  <si>
    <t>1NP-26B</t>
  </si>
  <si>
    <t>26b</t>
  </si>
  <si>
    <t>1NP-27A</t>
  </si>
  <si>
    <t>1NP-27B</t>
  </si>
  <si>
    <t>1NP-28A</t>
  </si>
  <si>
    <t>28a</t>
  </si>
  <si>
    <t>1NP-28B</t>
  </si>
  <si>
    <t>28b</t>
  </si>
  <si>
    <t>1NP-29A</t>
  </si>
  <si>
    <t>29a</t>
  </si>
  <si>
    <t>1NP-29B</t>
  </si>
  <si>
    <t>29b</t>
  </si>
  <si>
    <t>Využití místnosti</t>
  </si>
  <si>
    <t>m2</t>
  </si>
  <si>
    <t>navrhovaná četnost</t>
  </si>
  <si>
    <t>Součet z m2</t>
  </si>
  <si>
    <t xml:space="preserve"> Posluchárna</t>
  </si>
  <si>
    <t>Celkem za FAPPZ Meteorologická stanice</t>
  </si>
  <si>
    <t>technická mísntost</t>
  </si>
  <si>
    <r>
      <t>Kč bez DPH/</t>
    </r>
    <r>
      <rPr>
        <sz val="11"/>
        <rFont val="Calibri"/>
        <family val="2"/>
        <charset val="238"/>
        <scheme val="minor"/>
      </rPr>
      <t>příplatek k položce</t>
    </r>
  </si>
  <si>
    <r>
      <t>Kč bez DPH</t>
    </r>
    <r>
      <rPr>
        <sz val="11"/>
        <rFont val="Calibri"/>
        <family val="2"/>
        <charset val="238"/>
        <scheme val="minor"/>
      </rPr>
      <t>/příplatek k položce</t>
    </r>
  </si>
  <si>
    <t xml:space="preserve">Zajištění pomoci úklidu při haváriích a mimořádných událostech nejpozději do  30 minut po nahlášení stálé pohotovostní službě - příplatek k jednotkovým cenám za položky pravidelných úklidových a čisticích prací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</si>
</sst>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0.0"/>
    <numFmt numFmtId="166" formatCode="#,##0.00\ &quot;Kč&quot;"/>
    <numFmt numFmtId="167" formatCode="_-* #,##0.00\ _K_č_-;\-* #,##0.00\ _K_č_-;_-* &quot;-&quot;??\ _K_č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7" fontId="30" fillId="0" borderId="0" applyFont="0" applyFill="0" applyBorder="0" applyAlignment="0" applyProtection="0"/>
  </cellStyleXfs>
  <cellXfs count="356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/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4" fontId="11" fillId="0" borderId="25" xfId="0" applyNumberFormat="1" applyFont="1" applyBorder="1"/>
    <xf numFmtId="4" fontId="11" fillId="0" borderId="26" xfId="0" applyNumberFormat="1" applyFont="1" applyBorder="1"/>
    <xf numFmtId="1" fontId="12" fillId="0" borderId="28" xfId="0" applyNumberFormat="1" applyFont="1" applyBorder="1" applyAlignment="1">
      <alignment horizontal="center"/>
    </xf>
    <xf numFmtId="0" fontId="6" fillId="0" borderId="0" xfId="0" applyFont="1"/>
    <xf numFmtId="1" fontId="8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/>
    </xf>
    <xf numFmtId="0" fontId="6" fillId="2" borderId="6" xfId="0" applyFont="1" applyFill="1" applyBorder="1"/>
    <xf numFmtId="4" fontId="6" fillId="0" borderId="6" xfId="0" applyNumberFormat="1" applyFont="1" applyBorder="1" applyAlignment="1">
      <alignment horizontal="right" indent="1"/>
    </xf>
    <xf numFmtId="0" fontId="6" fillId="0" borderId="6" xfId="0" applyFont="1" applyBorder="1"/>
    <xf numFmtId="1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0" borderId="6" xfId="0" applyFont="1" applyBorder="1" applyAlignment="1">
      <alignment horizontal="center" vertical="center"/>
    </xf>
    <xf numFmtId="4" fontId="6" fillId="0" borderId="0" xfId="0" applyNumberFormat="1" applyFont="1"/>
    <xf numFmtId="0" fontId="0" fillId="0" borderId="6" xfId="0" applyBorder="1" applyAlignment="1">
      <alignment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2" fontId="6" fillId="0" borderId="6" xfId="0" applyNumberFormat="1" applyFont="1" applyBorder="1"/>
    <xf numFmtId="0" fontId="12" fillId="2" borderId="6" xfId="0" applyFont="1" applyFill="1" applyBorder="1"/>
    <xf numFmtId="0" fontId="1" fillId="0" borderId="1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0" borderId="3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 indent="1"/>
    </xf>
    <xf numFmtId="49" fontId="7" fillId="0" borderId="6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indent="1"/>
    </xf>
    <xf numFmtId="4" fontId="9" fillId="0" borderId="6" xfId="0" applyNumberFormat="1" applyFont="1" applyBorder="1" applyAlignment="1">
      <alignment horizontal="right" indent="1"/>
    </xf>
    <xf numFmtId="0" fontId="9" fillId="0" borderId="6" xfId="0" applyFont="1" applyBorder="1" applyAlignment="1">
      <alignment horizontal="center"/>
    </xf>
    <xf numFmtId="0" fontId="4" fillId="0" borderId="13" xfId="0" applyFont="1" applyBorder="1" applyAlignment="1">
      <alignment horizontal="left" indent="1"/>
    </xf>
    <xf numFmtId="0" fontId="4" fillId="0" borderId="14" xfId="0" applyFont="1" applyBorder="1" applyAlignment="1">
      <alignment horizontal="left" indent="1"/>
    </xf>
    <xf numFmtId="0" fontId="4" fillId="0" borderId="14" xfId="0" applyFont="1" applyBorder="1" applyAlignment="1">
      <alignment horizontal="center"/>
    </xf>
    <xf numFmtId="4" fontId="4" fillId="0" borderId="14" xfId="0" applyNumberFormat="1" applyFont="1" applyBorder="1" applyAlignment="1">
      <alignment horizontal="right" indent="1"/>
    </xf>
    <xf numFmtId="0" fontId="7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 indent="1"/>
    </xf>
    <xf numFmtId="0" fontId="7" fillId="0" borderId="14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 indent="1"/>
    </xf>
    <xf numFmtId="0" fontId="7" fillId="0" borderId="14" xfId="0" applyFont="1" applyBorder="1"/>
    <xf numFmtId="0" fontId="8" fillId="0" borderId="15" xfId="0" applyFont="1" applyBorder="1" applyAlignment="1">
      <alignment horizontal="center"/>
    </xf>
    <xf numFmtId="49" fontId="3" fillId="0" borderId="8" xfId="0" applyNumberFormat="1" applyFont="1" applyBorder="1" applyAlignment="1">
      <alignment horizontal="left" indent="1"/>
    </xf>
    <xf numFmtId="49" fontId="9" fillId="0" borderId="6" xfId="0" applyNumberFormat="1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49" fontId="7" fillId="0" borderId="14" xfId="0" applyNumberFormat="1" applyFont="1" applyBorder="1" applyAlignment="1">
      <alignment horizontal="left" indent="1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/>
    </xf>
    <xf numFmtId="0" fontId="4" fillId="0" borderId="19" xfId="0" applyFont="1" applyBorder="1" applyAlignment="1">
      <alignment horizontal="left" indent="1"/>
    </xf>
    <xf numFmtId="49" fontId="4" fillId="0" borderId="20" xfId="0" applyNumberFormat="1" applyFont="1" applyBorder="1" applyAlignment="1">
      <alignment horizontal="left" indent="1"/>
    </xf>
    <xf numFmtId="0" fontId="4" fillId="0" borderId="20" xfId="0" applyFont="1" applyBorder="1" applyAlignment="1">
      <alignment horizontal="center"/>
    </xf>
    <xf numFmtId="4" fontId="4" fillId="0" borderId="20" xfId="0" applyNumberFormat="1" applyFont="1" applyBorder="1" applyAlignment="1">
      <alignment horizontal="right" indent="1"/>
    </xf>
    <xf numFmtId="2" fontId="4" fillId="0" borderId="20" xfId="0" applyNumberFormat="1" applyFont="1" applyBorder="1" applyAlignment="1">
      <alignment horizontal="right" indent="1"/>
    </xf>
    <xf numFmtId="0" fontId="8" fillId="0" borderId="22" xfId="0" applyFont="1" applyBorder="1" applyAlignment="1">
      <alignment horizontal="center"/>
    </xf>
    <xf numFmtId="0" fontId="1" fillId="0" borderId="23" xfId="0" applyFont="1" applyBorder="1"/>
    <xf numFmtId="4" fontId="1" fillId="0" borderId="23" xfId="0" applyNumberFormat="1" applyFont="1" applyBorder="1"/>
    <xf numFmtId="0" fontId="2" fillId="0" borderId="23" xfId="0" applyFont="1" applyBorder="1"/>
    <xf numFmtId="0" fontId="4" fillId="0" borderId="23" xfId="0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left" indent="1"/>
    </xf>
    <xf numFmtId="4" fontId="4" fillId="0" borderId="23" xfId="0" applyNumberFormat="1" applyFont="1" applyBorder="1" applyAlignment="1">
      <alignment horizontal="right" indent="1"/>
    </xf>
    <xf numFmtId="2" fontId="4" fillId="0" borderId="23" xfId="0" applyNumberFormat="1" applyFont="1" applyBorder="1" applyAlignment="1">
      <alignment horizontal="right" indent="1"/>
    </xf>
    <xf numFmtId="0" fontId="0" fillId="0" borderId="0" xfId="0" pivotButton="1"/>
    <xf numFmtId="0" fontId="0" fillId="0" borderId="0" xfId="0" applyAlignment="1">
      <alignment horizontal="left"/>
    </xf>
    <xf numFmtId="49" fontId="11" fillId="0" borderId="6" xfId="0" applyNumberFormat="1" applyFont="1" applyBorder="1"/>
    <xf numFmtId="0" fontId="11" fillId="0" borderId="6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4" fontId="11" fillId="0" borderId="6" xfId="0" applyNumberFormat="1" applyFont="1" applyBorder="1"/>
    <xf numFmtId="0" fontId="3" fillId="0" borderId="0" xfId="0" applyFont="1" applyAlignment="1">
      <alignment horizontal="center" vertical="center"/>
    </xf>
    <xf numFmtId="2" fontId="12" fillId="0" borderId="25" xfId="0" applyNumberFormat="1" applyFont="1" applyBorder="1"/>
    <xf numFmtId="2" fontId="12" fillId="0" borderId="26" xfId="0" applyNumberFormat="1" applyFont="1" applyBorder="1"/>
    <xf numFmtId="0" fontId="0" fillId="0" borderId="0" xfId="0" applyAlignment="1">
      <alignment horizontal="left" inden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0" fillId="4" borderId="6" xfId="0" applyFill="1" applyBorder="1"/>
    <xf numFmtId="0" fontId="0" fillId="0" borderId="6" xfId="0" applyBorder="1" applyAlignment="1">
      <alignment horizontal="left" vertical="top"/>
    </xf>
    <xf numFmtId="0" fontId="0" fillId="4" borderId="6" xfId="0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0" fontId="0" fillId="0" borderId="8" xfId="0" applyBorder="1" applyAlignment="1">
      <alignment horizontal="left" indent="2"/>
    </xf>
    <xf numFmtId="49" fontId="0" fillId="0" borderId="8" xfId="0" applyNumberFormat="1" applyBorder="1" applyAlignment="1">
      <alignment horizontal="left" indent="3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0" fillId="0" borderId="6" xfId="0" applyBorder="1" applyAlignment="1">
      <alignment horizontal="left" indent="2"/>
    </xf>
    <xf numFmtId="49" fontId="0" fillId="0" borderId="6" xfId="0" applyNumberFormat="1" applyBorder="1" applyAlignment="1">
      <alignment horizontal="left" indent="3"/>
    </xf>
    <xf numFmtId="165" fontId="0" fillId="0" borderId="6" xfId="0" applyNumberFormat="1" applyBorder="1" applyAlignment="1">
      <alignment horizontal="right" indent="1"/>
    </xf>
    <xf numFmtId="0" fontId="0" fillId="0" borderId="30" xfId="0" applyBorder="1"/>
    <xf numFmtId="0" fontId="0" fillId="0" borderId="31" xfId="0" applyBorder="1"/>
    <xf numFmtId="0" fontId="0" fillId="0" borderId="6" xfId="0" applyBorder="1" applyAlignment="1">
      <alignment horizontal="right" inden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5" xfId="0" applyBorder="1" applyAlignment="1">
      <alignment horizontal="left" indent="2"/>
    </xf>
    <xf numFmtId="49" fontId="0" fillId="0" borderId="5" xfId="0" applyNumberFormat="1" applyBorder="1" applyAlignment="1">
      <alignment horizontal="left" indent="3"/>
    </xf>
    <xf numFmtId="165" fontId="0" fillId="0" borderId="5" xfId="0" applyNumberFormat="1" applyBorder="1" applyAlignment="1">
      <alignment horizontal="right" indent="1"/>
    </xf>
    <xf numFmtId="0" fontId="0" fillId="0" borderId="5" xfId="0" applyBorder="1" applyAlignment="1">
      <alignment horizontal="center"/>
    </xf>
    <xf numFmtId="0" fontId="7" fillId="0" borderId="23" xfId="0" applyFont="1" applyBorder="1" applyAlignment="1">
      <alignment horizontal="left" indent="1"/>
    </xf>
    <xf numFmtId="0" fontId="7" fillId="0" borderId="23" xfId="0" applyFont="1" applyBorder="1" applyAlignment="1">
      <alignment horizontal="center"/>
    </xf>
    <xf numFmtId="165" fontId="7" fillId="0" borderId="23" xfId="0" applyNumberFormat="1" applyFont="1" applyBorder="1" applyAlignment="1">
      <alignment horizontal="right" indent="1"/>
    </xf>
    <xf numFmtId="2" fontId="7" fillId="0" borderId="23" xfId="0" applyNumberFormat="1" applyFont="1" applyBorder="1" applyAlignment="1">
      <alignment horizontal="right" indent="1"/>
    </xf>
    <xf numFmtId="0" fontId="0" fillId="0" borderId="30" xfId="0" pivotButton="1" applyBorder="1"/>
    <xf numFmtId="0" fontId="6" fillId="0" borderId="5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6" xfId="0" applyBorder="1" applyAlignment="1">
      <alignment wrapText="1"/>
    </xf>
    <xf numFmtId="165" fontId="0" fillId="0" borderId="6" xfId="0" applyNumberFormat="1" applyBorder="1" applyAlignment="1">
      <alignment wrapText="1"/>
    </xf>
    <xf numFmtId="165" fontId="0" fillId="0" borderId="6" xfId="0" applyNumberFormat="1" applyBorder="1"/>
    <xf numFmtId="4" fontId="0" fillId="0" borderId="6" xfId="0" applyNumberFormat="1" applyBorder="1"/>
    <xf numFmtId="0" fontId="0" fillId="3" borderId="6" xfId="0" applyFill="1" applyBorder="1"/>
    <xf numFmtId="9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 vertical="top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6" fontId="13" fillId="0" borderId="6" xfId="0" applyNumberFormat="1" applyFont="1" applyBorder="1" applyAlignment="1">
      <alignment horizontal="center" vertical="top"/>
    </xf>
    <xf numFmtId="0" fontId="13" fillId="5" borderId="6" xfId="0" applyFont="1" applyFill="1" applyBorder="1"/>
    <xf numFmtId="0" fontId="13" fillId="5" borderId="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left" indent="1"/>
    </xf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 indent="1"/>
    </xf>
    <xf numFmtId="0" fontId="11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1" fillId="0" borderId="0" xfId="0" applyFont="1"/>
    <xf numFmtId="0" fontId="18" fillId="0" borderId="6" xfId="0" applyFont="1" applyBorder="1" applyAlignment="1">
      <alignment horizontal="center" vertical="top"/>
    </xf>
    <xf numFmtId="164" fontId="18" fillId="0" borderId="6" xfId="0" applyNumberFormat="1" applyFont="1" applyBorder="1" applyAlignment="1">
      <alignment horizontal="center" vertical="top"/>
    </xf>
    <xf numFmtId="0" fontId="17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1" fillId="0" borderId="0" xfId="0" applyNumberFormat="1" applyFont="1" applyAlignment="1">
      <alignment horizontal="left" inden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 indent="1"/>
    </xf>
    <xf numFmtId="0" fontId="17" fillId="0" borderId="0" xfId="0" applyFont="1" applyAlignment="1">
      <alignment horizontal="center"/>
    </xf>
    <xf numFmtId="49" fontId="11" fillId="0" borderId="8" xfId="0" applyNumberFormat="1" applyFont="1" applyBorder="1" applyAlignment="1">
      <alignment horizontal="left" indent="1"/>
    </xf>
    <xf numFmtId="4" fontId="11" fillId="0" borderId="8" xfId="0" applyNumberFormat="1" applyFont="1" applyBorder="1" applyAlignment="1">
      <alignment horizontal="right" indent="1"/>
    </xf>
    <xf numFmtId="0" fontId="11" fillId="0" borderId="8" xfId="0" applyFont="1" applyBorder="1"/>
    <xf numFmtId="0" fontId="11" fillId="0" borderId="5" xfId="0" applyFont="1" applyBorder="1" applyAlignment="1">
      <alignment horizontal="left" indent="1"/>
    </xf>
    <xf numFmtId="4" fontId="11" fillId="0" borderId="5" xfId="0" applyNumberFormat="1" applyFont="1" applyBorder="1" applyAlignment="1">
      <alignment horizontal="right" indent="1"/>
    </xf>
    <xf numFmtId="0" fontId="11" fillId="0" borderId="12" xfId="0" applyFont="1" applyBorder="1" applyAlignment="1">
      <alignment horizontal="center"/>
    </xf>
    <xf numFmtId="0" fontId="11" fillId="0" borderId="5" xfId="0" applyFont="1" applyBorder="1"/>
    <xf numFmtId="0" fontId="11" fillId="0" borderId="14" xfId="0" applyFont="1" applyBorder="1"/>
    <xf numFmtId="0" fontId="17" fillId="0" borderId="15" xfId="0" applyFont="1" applyBorder="1" applyAlignment="1">
      <alignment horizontal="center"/>
    </xf>
    <xf numFmtId="0" fontId="11" fillId="0" borderId="0" xfId="0" applyFont="1" applyAlignment="1">
      <alignment horizontal="left" indent="1"/>
    </xf>
    <xf numFmtId="49" fontId="11" fillId="0" borderId="5" xfId="0" applyNumberFormat="1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2" fontId="11" fillId="0" borderId="8" xfId="0" applyNumberFormat="1" applyFont="1" applyBorder="1" applyAlignment="1">
      <alignment horizontal="right" indent="1"/>
    </xf>
    <xf numFmtId="2" fontId="11" fillId="0" borderId="21" xfId="0" applyNumberFormat="1" applyFont="1" applyBorder="1" applyAlignment="1">
      <alignment horizontal="right" indent="1"/>
    </xf>
    <xf numFmtId="0" fontId="11" fillId="0" borderId="14" xfId="0" applyFont="1" applyBorder="1" applyAlignment="1">
      <alignment horizontal="center"/>
    </xf>
    <xf numFmtId="0" fontId="11" fillId="0" borderId="23" xfId="0" applyFont="1" applyBorder="1"/>
    <xf numFmtId="4" fontId="11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right" indent="1"/>
    </xf>
    <xf numFmtId="2" fontId="11" fillId="0" borderId="5" xfId="0" applyNumberFormat="1" applyFont="1" applyBorder="1" applyAlignment="1">
      <alignment horizontal="right" indent="1"/>
    </xf>
    <xf numFmtId="49" fontId="19" fillId="0" borderId="24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wrapText="1"/>
    </xf>
    <xf numFmtId="49" fontId="19" fillId="0" borderId="25" xfId="0" applyNumberFormat="1" applyFont="1" applyBorder="1"/>
    <xf numFmtId="49" fontId="19" fillId="0" borderId="27" xfId="0" applyNumberFormat="1" applyFont="1" applyBorder="1"/>
    <xf numFmtId="49" fontId="19" fillId="0" borderId="26" xfId="0" applyNumberFormat="1" applyFont="1" applyBorder="1"/>
    <xf numFmtId="4" fontId="19" fillId="0" borderId="6" xfId="0" applyNumberFormat="1" applyFont="1" applyBorder="1"/>
    <xf numFmtId="4" fontId="19" fillId="0" borderId="25" xfId="0" applyNumberFormat="1" applyFont="1" applyBorder="1"/>
    <xf numFmtId="4" fontId="19" fillId="0" borderId="6" xfId="0" applyNumberFormat="1" applyFont="1" applyBorder="1" applyAlignment="1">
      <alignment horizontal="center"/>
    </xf>
    <xf numFmtId="4" fontId="19" fillId="0" borderId="26" xfId="0" applyNumberFormat="1" applyFont="1" applyBorder="1"/>
    <xf numFmtId="49" fontId="19" fillId="0" borderId="6" xfId="0" applyNumberFormat="1" applyFont="1" applyBorder="1" applyAlignment="1">
      <alignment horizontal="center" vertical="center"/>
    </xf>
    <xf numFmtId="49" fontId="21" fillId="0" borderId="6" xfId="0" applyNumberFormat="1" applyFont="1" applyBorder="1"/>
    <xf numFmtId="0" fontId="21" fillId="0" borderId="6" xfId="0" applyFont="1" applyBorder="1"/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4" fontId="11" fillId="0" borderId="0" xfId="0" applyNumberFormat="1" applyFont="1"/>
    <xf numFmtId="0" fontId="11" fillId="0" borderId="6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left"/>
    </xf>
    <xf numFmtId="49" fontId="19" fillId="0" borderId="25" xfId="0" applyNumberFormat="1" applyFont="1" applyBorder="1" applyAlignment="1">
      <alignment vertical="center"/>
    </xf>
    <xf numFmtId="49" fontId="19" fillId="0" borderId="27" xfId="0" applyNumberFormat="1" applyFont="1" applyBorder="1" applyAlignment="1">
      <alignment vertical="center"/>
    </xf>
    <xf numFmtId="49" fontId="19" fillId="0" borderId="26" xfId="0" applyNumberFormat="1" applyFont="1" applyBorder="1" applyAlignment="1">
      <alignment vertical="center"/>
    </xf>
    <xf numFmtId="49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4" fontId="15" fillId="0" borderId="0" xfId="0" applyNumberFormat="1" applyFont="1" applyAlignment="1">
      <alignment horizontal="center"/>
    </xf>
    <xf numFmtId="0" fontId="23" fillId="0" borderId="0" xfId="0" applyFont="1"/>
    <xf numFmtId="49" fontId="4" fillId="0" borderId="23" xfId="0" applyNumberFormat="1" applyFont="1" applyBorder="1" applyAlignment="1">
      <alignment horizontal="center"/>
    </xf>
    <xf numFmtId="0" fontId="0" fillId="6" borderId="43" xfId="0" applyFill="1" applyBorder="1"/>
    <xf numFmtId="0" fontId="0" fillId="0" borderId="44" xfId="0" applyBorder="1" applyAlignment="1">
      <alignment horizontal="center"/>
    </xf>
    <xf numFmtId="49" fontId="0" fillId="0" borderId="44" xfId="0" applyNumberFormat="1" applyBorder="1" applyAlignment="1">
      <alignment horizontal="left" indent="1"/>
    </xf>
    <xf numFmtId="49" fontId="0" fillId="0" borderId="44" xfId="0" applyNumberFormat="1" applyBorder="1" applyAlignment="1">
      <alignment horizontal="center"/>
    </xf>
    <xf numFmtId="165" fontId="0" fillId="0" borderId="44" xfId="0" applyNumberFormat="1" applyBorder="1" applyAlignment="1">
      <alignment horizontal="right" indent="1"/>
    </xf>
    <xf numFmtId="2" fontId="0" fillId="0" borderId="8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center"/>
    </xf>
    <xf numFmtId="0" fontId="3" fillId="6" borderId="43" xfId="0" applyFont="1" applyFill="1" applyBorder="1"/>
    <xf numFmtId="49" fontId="0" fillId="0" borderId="6" xfId="0" applyNumberFormat="1" applyBorder="1" applyAlignment="1">
      <alignment horizontal="left" indent="1"/>
    </xf>
    <xf numFmtId="49" fontId="0" fillId="0" borderId="6" xfId="0" applyNumberFormat="1" applyBorder="1" applyAlignment="1">
      <alignment horizontal="center"/>
    </xf>
    <xf numFmtId="49" fontId="7" fillId="0" borderId="23" xfId="0" applyNumberFormat="1" applyFont="1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49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165" fontId="10" fillId="0" borderId="39" xfId="0" applyNumberFormat="1" applyFont="1" applyBorder="1" applyAlignment="1">
      <alignment horizontal="center"/>
    </xf>
    <xf numFmtId="0" fontId="0" fillId="6" borderId="43" xfId="0" applyFill="1" applyBorder="1" applyAlignment="1">
      <alignment wrapText="1"/>
    </xf>
    <xf numFmtId="2" fontId="0" fillId="0" borderId="44" xfId="0" applyNumberFormat="1" applyBorder="1" applyAlignment="1">
      <alignment horizontal="right" indent="1"/>
    </xf>
    <xf numFmtId="0" fontId="0" fillId="0" borderId="45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6" borderId="46" xfId="0" applyFill="1" applyBorder="1"/>
    <xf numFmtId="0" fontId="0" fillId="0" borderId="8" xfId="0" applyBorder="1"/>
    <xf numFmtId="49" fontId="0" fillId="0" borderId="8" xfId="0" applyNumberFormat="1" applyBorder="1" applyAlignment="1">
      <alignment horizontal="left" indent="1"/>
    </xf>
    <xf numFmtId="0" fontId="0" fillId="0" borderId="6" xfId="0" applyBorder="1" applyAlignment="1">
      <alignment horizontal="left" indent="1"/>
    </xf>
    <xf numFmtId="16" fontId="0" fillId="0" borderId="6" xfId="0" applyNumberFormat="1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49" fontId="0" fillId="0" borderId="5" xfId="0" applyNumberFormat="1" applyBorder="1" applyAlignment="1">
      <alignment horizontal="left" indent="1"/>
    </xf>
    <xf numFmtId="2" fontId="0" fillId="0" borderId="5" xfId="0" applyNumberFormat="1" applyBorder="1" applyAlignment="1">
      <alignment horizontal="right" indent="1"/>
    </xf>
    <xf numFmtId="0" fontId="0" fillId="6" borderId="43" xfId="0" quotePrefix="1" applyFill="1" applyBorder="1"/>
    <xf numFmtId="0" fontId="25" fillId="0" borderId="0" xfId="0" applyFont="1"/>
    <xf numFmtId="0" fontId="25" fillId="0" borderId="0" xfId="0" applyFont="1" applyAlignment="1">
      <alignment horizontal="right"/>
    </xf>
    <xf numFmtId="0" fontId="26" fillId="0" borderId="47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2" fontId="26" fillId="0" borderId="28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7" fillId="0" borderId="0" xfId="0" applyFont="1"/>
    <xf numFmtId="0" fontId="25" fillId="0" borderId="49" xfId="0" applyFont="1" applyBorder="1"/>
    <xf numFmtId="0" fontId="25" fillId="0" borderId="50" xfId="0" applyFont="1" applyBorder="1"/>
    <xf numFmtId="2" fontId="25" fillId="0" borderId="50" xfId="0" applyNumberFormat="1" applyFont="1" applyBorder="1" applyAlignment="1">
      <alignment horizontal="right"/>
    </xf>
    <xf numFmtId="0" fontId="25" fillId="0" borderId="50" xfId="0" applyFont="1" applyBorder="1" applyAlignment="1">
      <alignment horizontal="right" vertical="center"/>
    </xf>
    <xf numFmtId="0" fontId="25" fillId="0" borderId="50" xfId="0" applyFont="1" applyBorder="1" applyAlignment="1">
      <alignment horizontal="right"/>
    </xf>
    <xf numFmtId="0" fontId="25" fillId="0" borderId="51" xfId="0" applyFont="1" applyBorder="1" applyAlignment="1">
      <alignment horizontal="right"/>
    </xf>
    <xf numFmtId="0" fontId="25" fillId="0" borderId="52" xfId="0" applyFont="1" applyBorder="1"/>
    <xf numFmtId="0" fontId="25" fillId="0" borderId="6" xfId="0" applyFont="1" applyBorder="1"/>
    <xf numFmtId="2" fontId="25" fillId="0" borderId="6" xfId="0" applyNumberFormat="1" applyFont="1" applyBorder="1" applyAlignment="1">
      <alignment horizontal="right"/>
    </xf>
    <xf numFmtId="0" fontId="25" fillId="0" borderId="6" xfId="0" applyFont="1" applyBorder="1" applyAlignment="1">
      <alignment horizontal="right" vertical="center"/>
    </xf>
    <xf numFmtId="0" fontId="25" fillId="0" borderId="6" xfId="0" applyFont="1" applyBorder="1" applyAlignment="1">
      <alignment horizontal="right"/>
    </xf>
    <xf numFmtId="0" fontId="25" fillId="0" borderId="53" xfId="0" applyFont="1" applyBorder="1" applyAlignment="1">
      <alignment horizontal="right"/>
    </xf>
    <xf numFmtId="0" fontId="28" fillId="0" borderId="53" xfId="0" applyFont="1" applyBorder="1" applyAlignment="1">
      <alignment horizontal="right"/>
    </xf>
    <xf numFmtId="2" fontId="25" fillId="0" borderId="0" xfId="0" applyNumberFormat="1" applyFont="1" applyAlignment="1">
      <alignment horizontal="right"/>
    </xf>
    <xf numFmtId="2" fontId="28" fillId="0" borderId="0" xfId="0" applyNumberFormat="1" applyFont="1" applyAlignment="1">
      <alignment horizontal="right"/>
    </xf>
    <xf numFmtId="0" fontId="28" fillId="0" borderId="0" xfId="0" applyFont="1"/>
    <xf numFmtId="0" fontId="25" fillId="0" borderId="9" xfId="0" applyFont="1" applyBorder="1"/>
    <xf numFmtId="0" fontId="25" fillId="0" borderId="10" xfId="0" applyFont="1" applyBorder="1"/>
    <xf numFmtId="2" fontId="25" fillId="0" borderId="10" xfId="0" applyNumberFormat="1" applyFont="1" applyBorder="1" applyAlignment="1">
      <alignment horizontal="right"/>
    </xf>
    <xf numFmtId="0" fontId="25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2" fontId="28" fillId="0" borderId="14" xfId="0" applyNumberFormat="1" applyFont="1" applyBorder="1" applyAlignment="1">
      <alignment horizontal="right"/>
    </xf>
    <xf numFmtId="0" fontId="0" fillId="6" borderId="28" xfId="0" applyFill="1" applyBorder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25" fillId="0" borderId="59" xfId="0" applyFont="1" applyBorder="1"/>
    <xf numFmtId="0" fontId="25" fillId="0" borderId="8" xfId="0" applyFont="1" applyBorder="1"/>
    <xf numFmtId="2" fontId="25" fillId="0" borderId="8" xfId="0" applyNumberFormat="1" applyFont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60" xfId="0" applyFont="1" applyBorder="1" applyAlignment="1">
      <alignment horizontal="right"/>
    </xf>
    <xf numFmtId="0" fontId="25" fillId="0" borderId="4" xfId="0" applyFont="1" applyBorder="1"/>
    <xf numFmtId="0" fontId="25" fillId="0" borderId="5" xfId="0" applyFont="1" applyBorder="1"/>
    <xf numFmtId="2" fontId="25" fillId="0" borderId="5" xfId="0" applyNumberFormat="1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7" xfId="0" applyFont="1" applyBorder="1" applyAlignment="1">
      <alignment horizontal="right"/>
    </xf>
    <xf numFmtId="0" fontId="25" fillId="0" borderId="57" xfId="0" applyFont="1" applyBorder="1"/>
    <xf numFmtId="0" fontId="25" fillId="0" borderId="57" xfId="0" applyFont="1" applyBorder="1" applyAlignment="1">
      <alignment horizontal="right"/>
    </xf>
    <xf numFmtId="0" fontId="25" fillId="0" borderId="58" xfId="0" applyFont="1" applyBorder="1" applyAlignment="1">
      <alignment horizontal="right"/>
    </xf>
    <xf numFmtId="0" fontId="7" fillId="0" borderId="23" xfId="0" applyFont="1" applyBorder="1"/>
    <xf numFmtId="0" fontId="13" fillId="5" borderId="6" xfId="0" applyFont="1" applyFill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29" fillId="4" borderId="2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/>
    </xf>
    <xf numFmtId="0" fontId="0" fillId="6" borderId="43" xfId="0" applyFill="1" applyBorder="1" applyAlignment="1">
      <alignment horizontal="left"/>
    </xf>
    <xf numFmtId="0" fontId="3" fillId="6" borderId="43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0" fillId="6" borderId="43" xfId="0" quotePrefix="1" applyFill="1" applyBorder="1" applyAlignment="1">
      <alignment horizontal="left"/>
    </xf>
    <xf numFmtId="0" fontId="0" fillId="6" borderId="55" xfId="0" applyFill="1" applyBorder="1" applyAlignment="1">
      <alignment horizontal="left"/>
    </xf>
    <xf numFmtId="3" fontId="0" fillId="0" borderId="6" xfId="0" applyNumberFormat="1" applyBorder="1"/>
    <xf numFmtId="4" fontId="0" fillId="3" borderId="6" xfId="0" applyNumberFormat="1" applyFill="1" applyBorder="1"/>
    <xf numFmtId="0" fontId="11" fillId="0" borderId="49" xfId="0" applyFont="1" applyBorder="1" applyAlignment="1">
      <alignment wrapText="1"/>
    </xf>
    <xf numFmtId="0" fontId="3" fillId="6" borderId="42" xfId="0" applyFont="1" applyFill="1" applyBorder="1"/>
    <xf numFmtId="165" fontId="0" fillId="0" borderId="0" xfId="0" applyNumberFormat="1"/>
    <xf numFmtId="4" fontId="0" fillId="0" borderId="0" xfId="0" applyNumberFormat="1"/>
    <xf numFmtId="0" fontId="0" fillId="2" borderId="0" xfId="0" applyFill="1"/>
    <xf numFmtId="0" fontId="0" fillId="2" borderId="6" xfId="0" applyFill="1" applyBorder="1" applyAlignment="1">
      <alignment wrapText="1"/>
    </xf>
    <xf numFmtId="165" fontId="0" fillId="2" borderId="6" xfId="0" applyNumberFormat="1" applyFill="1" applyBorder="1" applyAlignment="1">
      <alignment wrapText="1"/>
    </xf>
    <xf numFmtId="0" fontId="0" fillId="2" borderId="6" xfId="0" applyFill="1" applyBorder="1"/>
    <xf numFmtId="4" fontId="0" fillId="2" borderId="6" xfId="0" applyNumberFormat="1" applyFill="1" applyBorder="1"/>
    <xf numFmtId="0" fontId="15" fillId="2" borderId="0" xfId="0" applyFont="1" applyFill="1"/>
    <xf numFmtId="0" fontId="13" fillId="3" borderId="6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0" fillId="0" borderId="40" xfId="0" applyBorder="1"/>
    <xf numFmtId="0" fontId="0" fillId="0" borderId="41" xfId="0" applyBorder="1"/>
    <xf numFmtId="0" fontId="7" fillId="0" borderId="23" xfId="0" applyFont="1" applyBorder="1"/>
    <xf numFmtId="0" fontId="7" fillId="0" borderId="0" xfId="0" applyFont="1"/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5" fillId="0" borderId="54" xfId="0" applyFont="1" applyBorder="1" applyAlignment="1">
      <alignment wrapText="1"/>
    </xf>
    <xf numFmtId="0" fontId="0" fillId="0" borderId="54" xfId="0" applyBorder="1" applyAlignment="1">
      <alignment wrapText="1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0" fontId="28" fillId="0" borderId="62" xfId="0" applyFont="1" applyBorder="1" applyAlignment="1">
      <alignment horizontal="center"/>
    </xf>
    <xf numFmtId="0" fontId="14" fillId="0" borderId="29" xfId="0" applyFont="1" applyBorder="1"/>
    <xf numFmtId="0" fontId="0" fillId="0" borderId="29" xfId="0" applyBorder="1"/>
  </cellXfs>
  <cellStyles count="4">
    <cellStyle name="Čárka 2" xfId="3" xr:uid="{FAA5D011-725C-4C08-AD60-4EBA6548AD56}"/>
    <cellStyle name="Normální" xfId="0" builtinId="0"/>
    <cellStyle name="Normální 2" xfId="1" xr:uid="{0F981BA7-3DF6-4A16-B356-78049A84558B}"/>
    <cellStyle name="Normální 3" xfId="2" xr:uid="{97C2964F-3670-40C4-931D-19210F755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7.xml"/><Relationship Id="rId39" Type="http://schemas.openxmlformats.org/officeDocument/2006/relationships/pivotCacheDefinition" Target="pivotCache/pivotCacheDefinition20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34" Type="http://schemas.openxmlformats.org/officeDocument/2006/relationships/pivotCacheDefinition" Target="pivotCache/pivotCacheDefinition15.xml"/><Relationship Id="rId42" Type="http://schemas.openxmlformats.org/officeDocument/2006/relationships/pivotCacheDefinition" Target="pivotCache/pivotCacheDefinition23.xml"/><Relationship Id="rId47" Type="http://schemas.openxmlformats.org/officeDocument/2006/relationships/connections" Target="connections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6.xml"/><Relationship Id="rId33" Type="http://schemas.openxmlformats.org/officeDocument/2006/relationships/pivotCacheDefinition" Target="pivotCache/pivotCacheDefinition14.xml"/><Relationship Id="rId38" Type="http://schemas.openxmlformats.org/officeDocument/2006/relationships/pivotCacheDefinition" Target="pivotCache/pivotCacheDefinition1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29" Type="http://schemas.openxmlformats.org/officeDocument/2006/relationships/pivotCacheDefinition" Target="pivotCache/pivotCacheDefinition10.xml"/><Relationship Id="rId41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5.xml"/><Relationship Id="rId32" Type="http://schemas.openxmlformats.org/officeDocument/2006/relationships/pivotCacheDefinition" Target="pivotCache/pivotCacheDefinition13.xml"/><Relationship Id="rId37" Type="http://schemas.openxmlformats.org/officeDocument/2006/relationships/pivotCacheDefinition" Target="pivotCache/pivotCacheDefinition18.xml"/><Relationship Id="rId40" Type="http://schemas.openxmlformats.org/officeDocument/2006/relationships/pivotCacheDefinition" Target="pivotCache/pivotCacheDefinition21.xml"/><Relationship Id="rId45" Type="http://schemas.openxmlformats.org/officeDocument/2006/relationships/pivotCacheDefinition" Target="pivotCache/pivotCacheDefinition26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4.xml"/><Relationship Id="rId28" Type="http://schemas.openxmlformats.org/officeDocument/2006/relationships/pivotCacheDefinition" Target="pivotCache/pivotCacheDefinition9.xml"/><Relationship Id="rId36" Type="http://schemas.openxmlformats.org/officeDocument/2006/relationships/pivotCacheDefinition" Target="pivotCache/pivotCacheDefinition1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12.xml"/><Relationship Id="rId44" Type="http://schemas.openxmlformats.org/officeDocument/2006/relationships/pivotCacheDefinition" Target="pivotCache/pivotCacheDefinition25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3.xml"/><Relationship Id="rId27" Type="http://schemas.openxmlformats.org/officeDocument/2006/relationships/pivotCacheDefinition" Target="pivotCache/pivotCacheDefinition8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43" Type="http://schemas.openxmlformats.org/officeDocument/2006/relationships/pivotCacheDefinition" Target="pivotCache/pivotCacheDefinition24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2.xml"/></Relationships>
</file>

<file path=xl/pivotCache/_rels/pivotCacheDefinition2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3.xml"/></Relationships>
</file>

<file path=xl/pivotCache/_rels/pivotCacheDefinition2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4.xml"/></Relationships>
</file>

<file path=xl/pivotCache/_rels/pivotCacheDefinition2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5.xml"/></Relationships>
</file>

<file path=xl/pivotCache/_rels/pivotCacheDefinition2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6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12040972222" createdVersion="6" refreshedVersion="6" minRefreshableVersion="3" recordCount="19" xr:uid="{00000000-000A-0000-FFFF-FFFF00000000}">
  <cacheSource type="worksheet">
    <worksheetSource ref="A2:I21" sheet="Místn. FAPPZ_B"/>
  </cacheSource>
  <cacheFields count="9">
    <cacheField name="č.m." numFmtId="49">
      <sharedItems/>
    </cacheField>
    <cacheField name="Katedra" numFmtId="0">
      <sharedItems containsBlank="1"/>
    </cacheField>
    <cacheField name="Rozpis" numFmtId="0">
      <sharedItems/>
    </cacheField>
    <cacheField name="Účel místnosti" numFmtId="0">
      <sharedItems/>
    </cacheField>
    <cacheField name="pozn." numFmtId="0">
      <sharedItems containsBlank="1"/>
    </cacheField>
    <cacheField name="Plocha v m2" numFmtId="4">
      <sharedItems containsSemiMixedTypes="0" containsString="0" containsNumber="1" minValue="3.52" maxValue="244.27"/>
    </cacheField>
    <cacheField name="Využití místnosti (přepokládané)" numFmtId="4">
      <sharedItems count="2">
        <s v="Laboratoře"/>
        <s v="Chodby, schodiště a ostatní"/>
      </sharedItems>
    </cacheField>
    <cacheField name="Navrhovaná četnost" numFmtId="4">
      <sharedItems count="1">
        <s v="1xM"/>
      </sharedItems>
    </cacheField>
    <cacheField name="Povrch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22443750002" createdVersion="6" refreshedVersion="6" minRefreshableVersion="3" recordCount="5" xr:uid="{00000000-000A-0000-FFFF-FFFF09000000}">
  <cacheSource type="worksheet">
    <worksheetSource ref="A1:C6" sheet="Místn. FAPPZ_stáje"/>
  </cacheSource>
  <cacheFields count="3">
    <cacheField name="Využití místnosti" numFmtId="0">
      <sharedItems count="5">
        <s v=" Posluchárna"/>
        <s v=" Laboratoře"/>
        <s v=" Kanceláře "/>
        <s v=" Chodby, schodiště a ostatní"/>
        <s v=" Sociální zařízení "/>
      </sharedItems>
    </cacheField>
    <cacheField name="m2" numFmtId="2">
      <sharedItems containsSemiMixedTypes="0" containsString="0" containsNumber="1" minValue="0" maxValue="182.5"/>
    </cacheField>
    <cacheField name="navrhovaná četnost" numFmtId="0">
      <sharedItems count="1">
        <s v="5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35904745369" createdVersion="6" refreshedVersion="6" minRefreshableVersion="3" recordCount="86" xr:uid="{00000000-000A-0000-FFFF-FFFF0A000000}">
  <cacheSource type="worksheet">
    <worksheetSource ref="A401:I487" sheet="Místn. FAPPZ_A"/>
  </cacheSource>
  <cacheFields count="9">
    <cacheField name="č.místnosti" numFmtId="49">
      <sharedItems/>
    </cacheField>
    <cacheField name="č.místnosti2" numFmtId="49">
      <sharedItems containsBlank="1" containsMixedTypes="1" containsNumber="1" containsInteger="1" minValue="21" maxValue="25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ntainsBlank="1" count="7">
        <s v="Laboratoře"/>
        <s v="kancelář"/>
        <s v="Chodby, schodiště a ostatní"/>
        <s v=" Sociální zařízení "/>
        <s v="výtah"/>
        <m u="1"/>
        <s v="-" u="1"/>
      </sharedItems>
    </cacheField>
    <cacheField name="plocha (m2)" numFmtId="4">
      <sharedItems containsSemiMixedTypes="0" containsString="0" containsNumber="1" minValue="0.9" maxValue="360"/>
    </cacheField>
    <cacheField name="Podlaha" numFmtId="0">
      <sharedItems containsBlank="1"/>
    </cacheField>
    <cacheField name="Četnost " numFmtId="0">
      <sharedItems containsNonDate="0" containsString="0" containsBlank="1"/>
    </cacheField>
    <cacheField name="Navrhovaná četnost" numFmtId="0">
      <sharedItems count="4">
        <s v="3xT"/>
        <s v="5xT"/>
        <s v="1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4448564815" createdVersion="6" refreshedVersion="6" minRefreshableVersion="3" recordCount="104" xr:uid="{00000000-000A-0000-FFFF-FFFF0B000000}">
  <cacheSource type="worksheet">
    <worksheetSource ref="A293:I397" sheet="Místn. FAPPZ_A"/>
  </cacheSource>
  <cacheFields count="9">
    <cacheField name="č.místnosti" numFmtId="0">
      <sharedItems containsMixedTypes="1" containsNumber="1" containsInteger="1" minValue="10" maxValue="94"/>
    </cacheField>
    <cacheField name="č.místnosti2" numFmtId="0">
      <sharedItems containsBlank="1" containsMixedTypes="1" containsNumber="1" containsInteger="1" minValue="10" maxValue="53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7">
        <s v="Kancelář"/>
        <s v="Laboratoře"/>
        <s v="Posluchárna"/>
        <s v="Chodby, schodiště a ostatní"/>
        <s v=" Sociální zařízení "/>
        <s v="výtah"/>
        <s v="-" u="1"/>
      </sharedItems>
    </cacheField>
    <cacheField name="plocha (m2)" numFmtId="4">
      <sharedItems containsSemiMixedTypes="0" containsString="0" containsNumber="1" minValue="1.2" maxValue="234.2"/>
    </cacheField>
    <cacheField name="Podlaha " numFmtId="0">
      <sharedItems containsBlank="1"/>
    </cacheField>
    <cacheField name="Četnost" numFmtId="0">
      <sharedItems containsNonDate="0" containsString="0" containsBlank="1"/>
    </cacheField>
    <cacheField name="Navrhovaná četnost" numFmtId="0">
      <sharedItems count="3">
        <s v="3xT"/>
        <s v="5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54327662039" createdVersion="6" refreshedVersion="6" minRefreshableVersion="3" recordCount="70" xr:uid="{00000000-000A-0000-FFFF-FFFF0C000000}">
  <cacheSource type="worksheet">
    <worksheetSource ref="A146:I216" sheet="Místn. FAPPZ_A"/>
  </cacheSource>
  <cacheFields count="9">
    <cacheField name="č.místnosti" numFmtId="49">
      <sharedItems containsMixedTypes="1" containsNumber="1" containsInteger="1" minValue="200" maxValue="294"/>
    </cacheField>
    <cacheField name="č.místnosti2" numFmtId="49">
      <sharedItems containsBlank="1" containsMixedTypes="1" containsNumber="1" containsInteger="1" minValue="200" maxValue="253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7">
        <s v="Kancelář"/>
        <s v="Laboratoře"/>
        <s v="Posluchárna"/>
        <s v="Chodby, schodiště a ostatní"/>
        <s v=" Sociální zařízení "/>
        <s v="výtah"/>
        <s v="-" u="1"/>
      </sharedItems>
    </cacheField>
    <cacheField name="plocha (m2)" numFmtId="4">
      <sharedItems containsSemiMixedTypes="0" containsString="0" containsNumber="1" minValue="0.8" maxValue="114.8"/>
    </cacheField>
    <cacheField name="Podlaha" numFmtId="0">
      <sharedItems containsBlank="1"/>
    </cacheField>
    <cacheField name="Četnost " numFmtId="0">
      <sharedItems containsNonDate="0" containsString="0" containsBlank="1"/>
    </cacheField>
    <cacheField name="Navrhovaná četnost" numFmtId="0">
      <sharedItems count="3">
        <s v="3xT"/>
        <s v="5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57479398145" createdVersion="6" refreshedVersion="6" minRefreshableVersion="3" recordCount="71" xr:uid="{00000000-000A-0000-FFFF-FFFF0D000000}">
  <cacheSource type="worksheet">
    <worksheetSource ref="A71:I142" sheet="Místn. FAPPZ_A"/>
  </cacheSource>
  <cacheFields count="9">
    <cacheField name="č.místnosti" numFmtId="0">
      <sharedItems containsMixedTypes="1" containsNumber="1" containsInteger="1" minValue="301" maxValue="394"/>
    </cacheField>
    <cacheField name="č.místnosti2" numFmtId="0">
      <sharedItems containsBlank="1" containsMixedTypes="1" containsNumber="1" containsInteger="1" minValue="301" maxValue="359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7">
        <s v="Kancelář"/>
        <s v="Laboratoře"/>
        <s v="Posluchárna"/>
        <s v="Chodby, schodiště a ostatní"/>
        <s v=" Sociální zařízení "/>
        <s v="výtah"/>
        <s v="-" u="1"/>
      </sharedItems>
    </cacheField>
    <cacheField name="plocha (m2)" numFmtId="4">
      <sharedItems containsSemiMixedTypes="0" containsString="0" containsNumber="1" minValue="0.7" maxValue="114.8"/>
    </cacheField>
    <cacheField name="Podlaha" numFmtId="0">
      <sharedItems containsBlank="1"/>
    </cacheField>
    <cacheField name="Četnost" numFmtId="0">
      <sharedItems containsNonDate="0" containsString="0" containsBlank="1"/>
    </cacheField>
    <cacheField name="Navrhovaná četnost" numFmtId="0">
      <sharedItems count="3">
        <s v="3xT"/>
        <s v="5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5959189815" createdVersion="6" refreshedVersion="6" minRefreshableVersion="3" recordCount="65" xr:uid="{00000000-000A-0000-FFFF-FFFF0E000000}">
  <cacheSource type="worksheet">
    <worksheetSource ref="A2:I67" sheet="Místn. FAPPZ_A"/>
  </cacheSource>
  <cacheFields count="9">
    <cacheField name="č.místnosti" numFmtId="49">
      <sharedItems containsMixedTypes="1" containsNumber="1" containsInteger="1" minValue="401" maxValue="494"/>
    </cacheField>
    <cacheField name="č.místnosti2" numFmtId="49">
      <sharedItems containsBlank="1" containsMixedTypes="1" containsNumber="1" containsInteger="1" minValue="401" maxValue="449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7">
        <s v="Kancelář"/>
        <s v="Laboratoře"/>
        <s v="Chodby, schodiště a ostatní"/>
        <s v="Posluchárna"/>
        <s v=" Sociální zařízení "/>
        <s v="výtah"/>
        <s v="-" u="1"/>
      </sharedItems>
    </cacheField>
    <cacheField name="plocha (m2)" numFmtId="4">
      <sharedItems containsSemiMixedTypes="0" containsString="0" containsNumber="1" minValue="1.2" maxValue="114.8"/>
    </cacheField>
    <cacheField name="Podlaha" numFmtId="0">
      <sharedItems containsBlank="1"/>
    </cacheField>
    <cacheField name="Četnost " numFmtId="0">
      <sharedItems containsNonDate="0" containsString="0" containsBlank="1"/>
    </cacheField>
    <cacheField name="Navrhovaná četnost" numFmtId="0">
      <sharedItems count="3">
        <s v="3xT"/>
        <s v="5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618007638892" createdVersion="6" refreshedVersion="6" minRefreshableVersion="3" recordCount="37" xr:uid="{00000000-000A-0000-FFFF-FFFF0F000000}">
  <cacheSource type="worksheet">
    <worksheetSource ref="A2:I39" sheet="Místn. FAPPZ_CVCHP"/>
  </cacheSource>
  <cacheFields count="9">
    <cacheField name="kód místnosti" numFmtId="0">
      <sharedItems/>
    </cacheField>
    <cacheField name="č.místnosti" numFmtId="49">
      <sharedItems containsMixedTypes="1" containsNumber="1" containsInteger="1" minValue="10" maxValue="19"/>
    </cacheField>
    <cacheField name="užití" numFmtId="0">
      <sharedItems count="10">
        <s v="chodba"/>
        <s v="kancelář"/>
        <s v="učebna"/>
        <s v="sklad"/>
        <s v="kuchyňka"/>
        <s v="ošetřovna"/>
        <s v="šatna"/>
        <s v="wc"/>
        <s v="umývárna"/>
        <s v="kotec"/>
      </sharedItems>
    </cacheField>
    <cacheField name="plocha (m2)" numFmtId="165">
      <sharedItems containsSemiMixedTypes="0" containsString="0" containsNumber="1" minValue="3" maxValue="23"/>
    </cacheField>
    <cacheField name="výška(m)" numFmtId="2">
      <sharedItems containsSemiMixedTypes="0" containsString="0" containsNumber="1" minValue="2.52" maxValue="2.91"/>
    </cacheField>
    <cacheField name="povrch podlahy" numFmtId="0">
      <sharedItems/>
    </cacheField>
    <cacheField name="povrch stěn" numFmtId="0">
      <sharedItems containsBlank="1"/>
    </cacheField>
    <cacheField name="povrch stropu" numFmtId="0">
      <sharedItems containsNonDate="0" containsString="0" containsBlank="1"/>
    </cacheField>
    <cacheField name="Navrhovaná četnost" numFmtId="0">
      <sharedItems count="2">
        <s v="5xT"/>
        <s v="bez úklid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625876736114" createdVersion="6" refreshedVersion="6" minRefreshableVersion="3" recordCount="5" xr:uid="{00000000-000A-0000-FFFF-FFFF10000000}">
  <cacheSource type="worksheet">
    <worksheetSource ref="A1:C6" sheet="Místn. FAPPZ_skleníky"/>
  </cacheSource>
  <cacheFields count="3">
    <cacheField name="Využití místnosti" numFmtId="0">
      <sharedItems count="5">
        <s v=" Posluchárna"/>
        <s v=" Laboratoře"/>
        <s v=" Kanceláře "/>
        <s v=" Chodby, schodiště a ostatní"/>
        <s v=" Sociální zařízení "/>
      </sharedItems>
    </cacheField>
    <cacheField name="m2" numFmtId="2">
      <sharedItems containsSemiMixedTypes="0" containsString="0" containsNumber="1" minValue="0" maxValue="321.93"/>
    </cacheField>
    <cacheField name="navrhovaná četnost" numFmtId="0">
      <sharedItems containsBlank="1" count="2">
        <s v="5xT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677519791665" createdVersion="6" refreshedVersion="6" minRefreshableVersion="3" recordCount="69" xr:uid="{00000000-000A-0000-FFFF-FFFF11000000}">
  <cacheSource type="worksheet">
    <worksheetSource ref="A220:I289" sheet="Místn. FAPPZ_A"/>
  </cacheSource>
  <cacheFields count="9">
    <cacheField name="č.místnosti" numFmtId="49">
      <sharedItems containsMixedTypes="1" containsNumber="1" containsInteger="1" minValue="103" maxValue="194"/>
    </cacheField>
    <cacheField name="č.místnosti2" numFmtId="49">
      <sharedItems containsBlank="1" containsMixedTypes="1" containsNumber="1" containsInteger="1" minValue="103" maxValue="155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8">
        <s v="Kancelář"/>
        <s v="Archiv"/>
        <s v="Laboratoře"/>
        <s v="Chodby, schodiště a ostatní"/>
        <s v="Posluchárna"/>
        <s v=" Sociální zařízení "/>
        <s v="výtah"/>
        <s v="-" u="1"/>
      </sharedItems>
    </cacheField>
    <cacheField name="plocha (m2)" numFmtId="4">
      <sharedItems containsSemiMixedTypes="0" containsString="0" containsNumber="1" minValue="1.2" maxValue="114.7"/>
    </cacheField>
    <cacheField name="Podlaha" numFmtId="0">
      <sharedItems containsBlank="1"/>
    </cacheField>
    <cacheField name="Četnost " numFmtId="0">
      <sharedItems containsNonDate="0" containsString="0" containsBlank="1"/>
    </cacheField>
    <cacheField name="Navrhovaná četnost" numFmtId="0">
      <sharedItems count="3">
        <s v="3xT"/>
        <s v="1xT"/>
        <s v="5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67380324072" createdVersion="6" refreshedVersion="6" minRefreshableVersion="3" recordCount="19" xr:uid="{00000000-000A-0000-FFFF-FFFF12000000}">
  <cacheSource type="worksheet">
    <worksheetSource ref="A2:I21" sheet="KH 1pp_bez úklidu"/>
  </cacheSource>
  <cacheFields count="9">
    <cacheField name="č.místnosti" numFmtId="0">
      <sharedItems/>
    </cacheField>
    <cacheField name="č.dveří" numFmtId="49">
      <sharedItems containsNonDate="0" containsString="0" containsBlank="1"/>
    </cacheField>
    <cacheField name="užití" numFmtId="49">
      <sharedItems count="18">
        <s v="zádveří"/>
        <s v="studentský klub"/>
        <s v="kuchyně"/>
        <s v="sklad"/>
        <s v="úklidová komora"/>
        <s v="kotelna"/>
        <s v="šatna personál"/>
        <s v="umývárna personál"/>
        <s v="wc personál"/>
        <s v="chodba"/>
        <s v="umývárna ženy"/>
        <s v="wc ženy"/>
        <s v="wc-bezbariérové"/>
        <s v="umývárna muži"/>
        <s v="wc muži"/>
        <s v="strojovna VZT"/>
        <s v="vzduchová komora"/>
        <s v="amfiteátr"/>
      </sharedItems>
    </cacheField>
    <cacheField name="plocha (m2)" numFmtId="165">
      <sharedItems containsSemiMixedTypes="0" containsString="0" containsNumber="1" minValue="1.3" maxValue="170.5"/>
    </cacheField>
    <cacheField name="výška(m)" numFmtId="2">
      <sharedItems containsBlank="1" containsMixedTypes="1" containsNumber="1" minValue="2.1" maxValue="3.1"/>
    </cacheField>
    <cacheField name="povrch podlahy" numFmtId="2">
      <sharedItems/>
    </cacheField>
    <cacheField name="povrch stěn" numFmtId="0">
      <sharedItems containsBlank="1"/>
    </cacheField>
    <cacheField name="povrch stropu" numFmtId="0">
      <sharedItems containsNonDate="0" containsString="0" containsBlank="1"/>
    </cacheField>
    <cacheField name="četnost úklidu" numFmtId="0">
      <sharedItems count="1">
        <s v="bez úklid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12378009262" createdVersion="6" refreshedVersion="6" minRefreshableVersion="3" recordCount="29" xr:uid="{00000000-000A-0000-FFFF-FFFF01000000}">
  <cacheSource type="worksheet">
    <worksheetSource ref="A24:I53" sheet="Místn. FAPPZ_B"/>
  </cacheSource>
  <cacheFields count="9">
    <cacheField name="č.m." numFmtId="49">
      <sharedItems/>
    </cacheField>
    <cacheField name="Katedra" numFmtId="0">
      <sharedItems containsBlank="1"/>
    </cacheField>
    <cacheField name="Rozpis" numFmtId="0">
      <sharedItems/>
    </cacheField>
    <cacheField name="Účel místnosti" numFmtId="0">
      <sharedItems/>
    </cacheField>
    <cacheField name="pozn." numFmtId="0">
      <sharedItems containsBlank="1"/>
    </cacheField>
    <cacheField name="Plocha v m2" numFmtId="4">
      <sharedItems containsSemiMixedTypes="0" containsString="0" containsNumber="1" minValue="1.7" maxValue="316.62"/>
    </cacheField>
    <cacheField name="Využití místnosti (přepokládané)" numFmtId="4">
      <sharedItems count="5">
        <s v="Chodby, schodiště a ostatní"/>
        <s v="Kanceláře"/>
        <s v="Laboratoře"/>
        <s v="Posluchárna"/>
        <s v="Sociální zařízení"/>
      </sharedItems>
    </cacheField>
    <cacheField name="Navrhovaná četnost" numFmtId="4">
      <sharedItems count="1">
        <s v="5xT"/>
      </sharedItems>
    </cacheField>
    <cacheField name="Povrch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68281944441" createdVersion="6" refreshedVersion="6" minRefreshableVersion="3" recordCount="23" xr:uid="{00000000-000A-0000-FFFF-FFFF13000000}">
  <cacheSource type="worksheet">
    <worksheetSource ref="A2:I25" sheet="KH 1 np"/>
  </cacheSource>
  <cacheFields count="9">
    <cacheField name="č.místnosti" numFmtId="49">
      <sharedItems/>
    </cacheField>
    <cacheField name="č.dveří" numFmtId="49">
      <sharedItems containsNonDate="0" containsString="0" containsBlank="1"/>
    </cacheField>
    <cacheField name="užití" numFmtId="49">
      <sharedItems count="22">
        <s v="zádveří"/>
        <s v="foyer-výstavní plocha"/>
        <s v="volný prostor pod galerií"/>
        <s v="galerie"/>
        <s v="chodba"/>
        <s v="přednáškový sál"/>
        <s v="rampa"/>
        <s v="občerstvení - prodej"/>
        <s v="občerstvení - sklad"/>
        <s v="občerstvení - šatna"/>
        <s v="obč. - wc personál"/>
        <s v="krytý chodník"/>
        <s v="podium"/>
        <s v="přípravna přednášejícího"/>
        <s v="wc - bezbariérové"/>
        <s v="chodba wc"/>
        <s v="úklidová komora"/>
        <s v="umývárna muži"/>
        <s v="wc muži"/>
        <s v="umývárna ženy"/>
        <s v="wc ženy"/>
        <s v="hlavní vstup"/>
      </sharedItems>
    </cacheField>
    <cacheField name="plocha (m2)" numFmtId="165">
      <sharedItems containsSemiMixedTypes="0" containsString="0" containsNumber="1" minValue="1.6" maxValue="616.79999999999995"/>
    </cacheField>
    <cacheField name="výška(m)" numFmtId="2">
      <sharedItems containsBlank="1" containsMixedTypes="1" containsNumber="1" minValue="1.48" maxValue="5.57"/>
    </cacheField>
    <cacheField name="povrch podlahy" numFmtId="2">
      <sharedItems containsBlank="1"/>
    </cacheField>
    <cacheField name="povrch stěn" numFmtId="0">
      <sharedItems containsBlank="1"/>
    </cacheField>
    <cacheField name="povrch stropu" numFmtId="0">
      <sharedItems containsBlank="1"/>
    </cacheField>
    <cacheField name="četnost úklidu_x000a_počet dní v týdnu" numFmtId="0">
      <sharedItems containsMixedTypes="1" containsNumber="1" containsInteger="1" minValue="0" maxValue="5" count="4">
        <n v="3"/>
        <n v="0"/>
        <n v="5"/>
        <s v="na vyžádání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6938252315" createdVersion="6" refreshedVersion="6" minRefreshableVersion="3" recordCount="62" xr:uid="{00000000-000A-0000-FFFF-FFFF15000000}">
  <cacheSource type="worksheet">
    <worksheetSource ref="A2:J64" sheet="TF 2np"/>
  </cacheSource>
  <cacheFields count="10">
    <cacheField name="budova" numFmtId="0">
      <sharedItems containsSemiMixedTypes="0" containsString="0" containsNumber="1" containsInteger="1" minValue="1" maxValue="3"/>
    </cacheField>
    <cacheField name="č.místnosti" numFmtId="0">
      <sharedItems/>
    </cacheField>
    <cacheField name="č.dveří" numFmtId="0">
      <sharedItems containsBlank="1"/>
    </cacheField>
    <cacheField name="užití" numFmtId="0">
      <sharedItems count="9">
        <s v="wc"/>
        <s v="úklid"/>
        <s v="kancelář"/>
        <s v="knihovna"/>
        <s v="učebna"/>
        <s v="schodiště"/>
        <s v="chodba"/>
        <s v="laboratoř"/>
        <s v="seminární místnost"/>
      </sharedItems>
    </cacheField>
    <cacheField name="plocha (m2)" numFmtId="165">
      <sharedItems containsSemiMixedTypes="0" containsString="0" containsNumber="1" minValue="2.2999999999999998" maxValue="108.4"/>
    </cacheField>
    <cacheField name="výška(m)" numFmtId="2">
      <sharedItems containsMixedTypes="1" containsNumber="1" minValue="2.27" maxValue="3.37"/>
    </cacheField>
    <cacheField name="povrch podlahy" numFmtId="0">
      <sharedItems/>
    </cacheField>
    <cacheField name="povrch stěn" numFmtId="0">
      <sharedItems containsBlank="1"/>
    </cacheField>
    <cacheField name="povrch stropu" numFmtId="0">
      <sharedItems containsNonDate="0" containsString="0" containsBlank="1"/>
    </cacheField>
    <cacheField name="četnost úklidu_x000a_počet dní v týdnu" numFmtId="0">
      <sharedItems containsSemiMixedTypes="0" containsString="0" containsNumber="1" containsInteger="1" minValue="0" maxValue="5" count="4">
        <n v="5"/>
        <n v="0"/>
        <n v="3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69668634256" createdVersion="6" refreshedVersion="6" minRefreshableVersion="3" recordCount="65" xr:uid="{00000000-000A-0000-FFFF-FFFF16000000}">
  <cacheSource type="worksheet">
    <worksheetSource ref="A2:J67" sheet="TF 3np"/>
  </cacheSource>
  <cacheFields count="10">
    <cacheField name="budova" numFmtId="0">
      <sharedItems containsSemiMixedTypes="0" containsString="0" containsNumber="1" containsInteger="1" minValue="1" maxValue="3"/>
    </cacheField>
    <cacheField name="č.místnosti" numFmtId="0">
      <sharedItems/>
    </cacheField>
    <cacheField name="č.dveří" numFmtId="0">
      <sharedItems containsBlank="1" containsMixedTypes="1" containsNumber="1" containsInteger="1" minValue="215" maxValue="219"/>
    </cacheField>
    <cacheField name="užití" numFmtId="0">
      <sharedItems count="8">
        <s v="wc"/>
        <s v="úklid"/>
        <s v="kancelář"/>
        <s v="knihovna"/>
        <s v="učebna"/>
        <s v="server"/>
        <s v="schodiště"/>
        <s v="chodba"/>
      </sharedItems>
    </cacheField>
    <cacheField name="plocha (m2)" numFmtId="165">
      <sharedItems containsSemiMixedTypes="0" containsString="0" containsNumber="1" minValue="2.2999999999999998" maxValue="108.6"/>
    </cacheField>
    <cacheField name="výška(m)" numFmtId="2">
      <sharedItems containsMixedTypes="1" containsNumber="1" minValue="5.83" maxValue="5.87"/>
    </cacheField>
    <cacheField name="povrch podlahy" numFmtId="0">
      <sharedItems/>
    </cacheField>
    <cacheField name="povrch stěn" numFmtId="0">
      <sharedItems containsBlank="1"/>
    </cacheField>
    <cacheField name="povrch stropu" numFmtId="0">
      <sharedItems containsNonDate="0" containsString="0" containsBlank="1"/>
    </cacheField>
    <cacheField name="četnost úklidu_x000a_počet dní v týdnu" numFmtId="0">
      <sharedItems containsSemiMixedTypes="0" containsString="0" containsNumber="1" containsInteger="1" minValue="0" maxValue="5" count="4">
        <n v="5"/>
        <n v="0"/>
        <n v="3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70012152777" createdVersion="6" refreshedVersion="6" minRefreshableVersion="3" recordCount="127" xr:uid="{00000000-000A-0000-FFFF-FFFF17000000}">
  <cacheSource type="worksheet">
    <worksheetSource ref="A2:H129" sheet="Dílny 1np"/>
  </cacheSource>
  <cacheFields count="8">
    <cacheField name="Č.M." numFmtId="0">
      <sharedItems/>
    </cacheField>
    <cacheField name="NÁZEV MÍSTNOSTÍ" numFmtId="0">
      <sharedItems count="41">
        <s v="ŠATNA"/>
        <s v="UMÝVÁRNA"/>
        <s v="KOTELNA"/>
        <s v="KANCELÁŘ"/>
        <s v="LABORATOŘ CHROMATOGRAFIE"/>
        <s v="PŘÍPRAVNA"/>
        <s v="LABORATOŘ DOJENÍ"/>
        <s v="UČEBNA"/>
        <s v="PIVOVAR - VARNA "/>
        <s v="CHLAZENÍ VARNY"/>
        <s v="LEŽÁCKÝ SKLEP"/>
        <s v="ENERGETIKA PROVOZ"/>
        <s v="HYGIENICKÉ ZÁZEMÍ"/>
        <s v="SKLEP"/>
        <s v="SCHODIŠTĚ"/>
        <s v="VÝUKOVÁ HALA"/>
        <s v="SKLAD"/>
        <s v="DÍLNA"/>
        <s v="TECHNICKÁ MÍSTNOST"/>
        <s v="LABORATOŘ BRZD"/>
        <s v="LABORATOŘ"/>
        <s v="VELÍN"/>
        <s v="STROJNÍ TRUHLÁRNA"/>
        <s v="TRUHLÁRNA"/>
        <s v="LABORATOŘ MIKROSKOPIE"/>
        <s v="PŘÍPRAVNA MIKROSKOPIE"/>
        <s v="LABORATOŘ METALOGRAFIE"/>
        <s v="TEMNÁ KOMORA"/>
        <s v="WC ŽENY"/>
        <s v="WC MUŽI"/>
        <s v="PIVOVAR - SKLAD"/>
        <s v="UČEBNA VÝP. TECHNIKY"/>
        <s v="SERVEROVNA"/>
        <s v="ÚKLID"/>
        <s v="KANCELÁŘ/LABORATOŘ"/>
        <s v="LABORATOŘ SPAL. MOTORŮ"/>
        <s v="SKLAD KOMPRESORŮ"/>
        <s v="LABORATOŘ TRIBOTECHNIKY"/>
        <s v="SVAŘOVNA"/>
        <s v="CHODBA"/>
        <s v="SKLAD ÚKLIDU"/>
      </sharedItems>
    </cacheField>
    <cacheField name="PLOCHA (m2)" numFmtId="2">
      <sharedItems containsSemiMixedTypes="0" containsString="0" containsNumber="1" minValue="1.46" maxValue="384.7"/>
    </cacheField>
    <cacheField name="VÝŠKA (mm)" numFmtId="0">
      <sharedItems containsBlank="1" containsMixedTypes="1" containsNumber="1" containsInteger="1" minValue="2610" maxValue="6550"/>
    </cacheField>
    <cacheField name="PODLAHA" numFmtId="0">
      <sharedItems/>
    </cacheField>
    <cacheField name="STĚNY" numFmtId="0">
      <sharedItems containsBlank="1"/>
    </cacheField>
    <cacheField name="STROP" numFmtId="0">
      <sharedItems containsBlank="1"/>
    </cacheField>
    <cacheField name="četnost úklidu_x000a_počet dní v týdnu" numFmtId="0">
      <sharedItems containsMixedTypes="1" containsNumber="1" containsInteger="1" minValue="0" maxValue="5" count="6">
        <n v="5"/>
        <n v="0"/>
        <n v="3"/>
        <n v="2"/>
        <s v="na vyžádání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68.570378124998" createdVersion="6" refreshedVersion="6" minRefreshableVersion="3" recordCount="19" xr:uid="{00000000-000A-0000-FFFF-FFFF18000000}">
  <cacheSource type="worksheet">
    <worksheetSource ref="A2:H21" sheet="Dílny 2np"/>
  </cacheSource>
  <cacheFields count="8">
    <cacheField name="Č.M." numFmtId="0">
      <sharedItems/>
    </cacheField>
    <cacheField name="NÁZEV MÍSTNOSTÍ" numFmtId="0">
      <sharedItems count="12">
        <s v="PIVOVAR - UČEBNA"/>
        <s v="PIVOVAR - PŘÍPRAVNA"/>
        <s v="KONZULTAČNÍ MÍSTNOST"/>
        <s v="HYGIENICKÉ ZÁZEMÍ"/>
        <s v="UČEBNA"/>
        <s v="LABORATOŘ"/>
        <s v="SCHODIŠTĚ"/>
        <s v="KANCELÁŘ"/>
        <s v="CHODBA"/>
        <s v="PŘÍPRAVNA"/>
        <s v="LABORATOŘ TRIBOTECHNIKY"/>
        <s v="SKLAD"/>
      </sharedItems>
    </cacheField>
    <cacheField name="PLOCHA (m2)" numFmtId="2">
      <sharedItems containsSemiMixedTypes="0" containsString="0" containsNumber="1" minValue="3.18" maxValue="64.58"/>
    </cacheField>
    <cacheField name="VÝŠKA (mm)" numFmtId="0">
      <sharedItems containsBlank="1" containsMixedTypes="1" containsNumber="1" containsInteger="1" minValue="2200" maxValue="3200"/>
    </cacheField>
    <cacheField name="PODLAHA" numFmtId="0">
      <sharedItems/>
    </cacheField>
    <cacheField name="STĚNY" numFmtId="0">
      <sharedItems containsBlank="1"/>
    </cacheField>
    <cacheField name="STROP" numFmtId="0">
      <sharedItems containsBlank="1"/>
    </cacheField>
    <cacheField name="četnost úklidu_x000a_počet dní v týdnu" numFmtId="0">
      <sharedItems containsMixedTypes="1" containsNumber="1" containsInteger="1" minValue="0" maxValue="5" count="6">
        <n v="2"/>
        <n v="0"/>
        <s v="na vyžádání"/>
        <n v="5"/>
        <n v="1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rová Jitka" refreshedDate="45982.692012615742" createdVersion="6" refreshedVersion="8" minRefreshableVersion="3" recordCount="58" xr:uid="{00000000-000A-0000-FFFF-FFFF19000000}">
  <cacheSource type="worksheet">
    <worksheetSource ref="A3:I61" sheet="TF 1pp"/>
  </cacheSource>
  <cacheFields count="9">
    <cacheField name="č.místnosti" numFmtId="49">
      <sharedItems/>
    </cacheField>
    <cacheField name="č.dveří" numFmtId="49">
      <sharedItems containsBlank="1"/>
    </cacheField>
    <cacheField name="užití" numFmtId="0">
      <sharedItems containsBlank="1" count="23">
        <s v="sklad"/>
        <s v="wc"/>
        <s v="lab.učebna"/>
        <s v="kancelář"/>
        <s v="laboratoř"/>
        <s v="učebna"/>
        <s v="strojovna"/>
        <s v="kotelna"/>
        <s v="chodba"/>
        <s v="chodba (HUV)"/>
        <s v="úklid"/>
        <s v="pracovna"/>
        <s v="umývárna"/>
        <s v="telef. ústředna"/>
        <s v="telef. rozvodna"/>
        <s v="předsíň"/>
        <s v="strojovna VZT"/>
        <s v="studentská místnost"/>
        <s v="knihárna"/>
        <s v="akumulátorovna" u="1"/>
        <s v="DOPLNIT NÁZEV" u="1"/>
        <m u="1"/>
        <s v="dílna" u="1"/>
      </sharedItems>
    </cacheField>
    <cacheField name="plocha (m2)" numFmtId="165">
      <sharedItems containsSemiMixedTypes="0" containsString="0" containsNumber="1" minValue="2.2999999999999998" maxValue="94.5"/>
    </cacheField>
    <cacheField name="výška(m)" numFmtId="2">
      <sharedItems containsBlank="1" containsMixedTypes="1" containsNumber="1" minValue="2.35" maxValue="3.35"/>
    </cacheField>
    <cacheField name="povrch podlahy" numFmtId="0">
      <sharedItems containsBlank="1"/>
    </cacheField>
    <cacheField name="povrch stěn" numFmtId="0">
      <sharedItems containsBlank="1"/>
    </cacheField>
    <cacheField name="povrch stropu" numFmtId="0">
      <sharedItems containsBlank="1"/>
    </cacheField>
    <cacheField name="četnost úklidu_x000a_počet dní v týdnu" numFmtId="0">
      <sharedItems count="4">
        <s v="bez úklidu"/>
        <s v="5T"/>
        <s v="3T"/>
        <s v="na vyžádání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rová Jitka" refreshedDate="45982.697549537035" createdVersion="6" refreshedVersion="8" minRefreshableVersion="3" recordCount="79" xr:uid="{00000000-000A-0000-FFFF-FFFF14000000}">
  <cacheSource type="worksheet">
    <worksheetSource ref="A2:J81" sheet="TF 1np"/>
  </cacheSource>
  <cacheFields count="10">
    <cacheField name="budova" numFmtId="0">
      <sharedItems containsString="0" containsBlank="1" containsNumber="1" containsInteger="1" minValue="1" maxValue="3"/>
    </cacheField>
    <cacheField name="č.místnosti" numFmtId="0">
      <sharedItems/>
    </cacheField>
    <cacheField name="č.dveří" numFmtId="49">
      <sharedItems containsBlank="1"/>
    </cacheField>
    <cacheField name="užití" numFmtId="0">
      <sharedItems count="21">
        <s v="wc"/>
        <s v="úklid"/>
        <s v="kancelář"/>
        <s v="laboratoř"/>
        <s v="knihovna"/>
        <s v="technická mísntost"/>
        <s v="schodiště"/>
        <s v="VZT"/>
        <s v="občerstvení"/>
        <s v="kuchyňka"/>
        <s v="kancelář "/>
        <s v="server"/>
        <s v="zasedací místnost"/>
        <s v="serverovna"/>
        <s v="vstup"/>
        <s v="chodba"/>
        <s v="posluchárna"/>
        <s v="kabinet" u="1"/>
        <s v="inform. centrum" u="1"/>
        <s v="PC studovna" u="1"/>
        <s v="učebna" u="1"/>
      </sharedItems>
    </cacheField>
    <cacheField name="plocha (m2)" numFmtId="165">
      <sharedItems containsSemiMixedTypes="0" containsString="0" containsNumber="1" minValue="3.1" maxValue="515.1"/>
    </cacheField>
    <cacheField name="výška(m)" numFmtId="2">
      <sharedItems containsBlank="1" containsMixedTypes="1" containsNumber="1" minValue="2.2400000000000002" maxValue="3.57"/>
    </cacheField>
    <cacheField name="povrch podlahy" numFmtId="0">
      <sharedItems containsBlank="1"/>
    </cacheField>
    <cacheField name="povrch stěn" numFmtId="0">
      <sharedItems containsBlank="1"/>
    </cacheField>
    <cacheField name="povrch stropu" numFmtId="0">
      <sharedItems containsBlank="1"/>
    </cacheField>
    <cacheField name="četnost úklidu_x000a_počet dní v týdnu" numFmtId="0">
      <sharedItems containsMixedTypes="1" containsNumber="1" minValue="0" maxValue="5" count="9">
        <s v="5T"/>
        <n v="0"/>
        <s v="3T"/>
        <s v="na vyžádání"/>
        <s v="1T"/>
        <n v="5" u="1"/>
        <n v="3" u="1"/>
        <n v="1" u="1"/>
        <n v="0.25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12839814815" createdVersion="6" refreshedVersion="6" minRefreshableVersion="3" recordCount="34" xr:uid="{00000000-000A-0000-FFFF-FFFF02000000}">
  <cacheSource type="worksheet">
    <worksheetSource ref="A56:I90" sheet="Místn. FAPPZ_B"/>
  </cacheSource>
  <cacheFields count="9">
    <cacheField name="č.m." numFmtId="49">
      <sharedItems/>
    </cacheField>
    <cacheField name="Katedra" numFmtId="0">
      <sharedItems containsBlank="1"/>
    </cacheField>
    <cacheField name="Rozpis" numFmtId="0">
      <sharedItems/>
    </cacheField>
    <cacheField name="Účel místnosti" numFmtId="0">
      <sharedItems/>
    </cacheField>
    <cacheField name="pozn." numFmtId="0">
      <sharedItems containsBlank="1"/>
    </cacheField>
    <cacheField name="Plocha v m2" numFmtId="4">
      <sharedItems containsSemiMixedTypes="0" containsString="0" containsNumber="1" minValue="1.7" maxValue="293.39"/>
    </cacheField>
    <cacheField name="Využití místnosti (přepokládané)" numFmtId="4">
      <sharedItems count="3">
        <s v="Chodby, schodiště a ostatní"/>
        <s v="Laboratoře"/>
        <s v="Sociální zařízení"/>
      </sharedItems>
    </cacheField>
    <cacheField name="Navrhovaná četnost" numFmtId="4">
      <sharedItems count="1">
        <s v="5xT"/>
      </sharedItems>
    </cacheField>
    <cacheField name="Povrch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13070486108" createdVersion="6" refreshedVersion="6" minRefreshableVersion="3" recordCount="46" xr:uid="{00000000-000A-0000-FFFF-FFFF03000000}">
  <cacheSource type="worksheet">
    <worksheetSource ref="A93:I139" sheet="Místn. FAPPZ_B"/>
  </cacheSource>
  <cacheFields count="9">
    <cacheField name="č.m." numFmtId="0">
      <sharedItems/>
    </cacheField>
    <cacheField name="Katedra" numFmtId="0">
      <sharedItems containsBlank="1"/>
    </cacheField>
    <cacheField name="Rozpis" numFmtId="0">
      <sharedItems/>
    </cacheField>
    <cacheField name="Účel místnosti" numFmtId="0">
      <sharedItems/>
    </cacheField>
    <cacheField name="pozn." numFmtId="0">
      <sharedItems containsBlank="1"/>
    </cacheField>
    <cacheField name="Plocha v m2" numFmtId="4">
      <sharedItems containsSemiMixedTypes="0" containsString="0" containsNumber="1" minValue="1.7" maxValue="265.35000000000002"/>
    </cacheField>
    <cacheField name="Využití místnosti (přepokládané)" numFmtId="4">
      <sharedItems count="4">
        <s v="Chodby, schodiště a ostatní"/>
        <s v="Kanceláře"/>
        <s v="Laboratoře"/>
        <s v="Sociální zařízení"/>
      </sharedItems>
    </cacheField>
    <cacheField name="Navrhovaná četnost" numFmtId="4">
      <sharedItems count="2">
        <s v="5xT"/>
        <s v="3xT"/>
      </sharedItems>
    </cacheField>
    <cacheField name="Povrch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1330810185" createdVersion="6" refreshedVersion="6" minRefreshableVersion="3" recordCount="44" xr:uid="{00000000-000A-0000-FFFF-FFFF04000000}">
  <cacheSource type="worksheet">
    <worksheetSource ref="A142:I186" sheet="Místn. FAPPZ_B"/>
  </cacheSource>
  <cacheFields count="9">
    <cacheField name="č.m." numFmtId="0">
      <sharedItems containsMixedTypes="1" containsNumber="1" containsInteger="1" minValue="407" maxValue="408"/>
    </cacheField>
    <cacheField name="Katedra" numFmtId="0">
      <sharedItems containsBlank="1"/>
    </cacheField>
    <cacheField name="Rozpis" numFmtId="0">
      <sharedItems/>
    </cacheField>
    <cacheField name="Účel místnosti" numFmtId="0">
      <sharedItems/>
    </cacheField>
    <cacheField name="pozn." numFmtId="0">
      <sharedItems containsBlank="1"/>
    </cacheField>
    <cacheField name="Plocha v m2" numFmtId="4">
      <sharedItems containsSemiMixedTypes="0" containsString="0" containsNumber="1" minValue="1.7" maxValue="276.95999999999998"/>
    </cacheField>
    <cacheField name="Využití místnosti (přepokládané)" numFmtId="4">
      <sharedItems count="3">
        <s v="Chodby, schodiště a ostatní"/>
        <s v="Kanceláře"/>
        <s v="Sociální zařízení"/>
      </sharedItems>
    </cacheField>
    <cacheField name="Navrhovaná četnost" numFmtId="4">
      <sharedItems count="2">
        <s v="5xT"/>
        <s v="3xT"/>
      </sharedItems>
    </cacheField>
    <cacheField name="Povrch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65431712967" createdVersion="6" refreshedVersion="6" minRefreshableVersion="3" recordCount="33" xr:uid="{00000000-000A-0000-FFFF-FFFF05000000}">
  <cacheSource type="worksheet">
    <worksheetSource ref="A2:G35" sheet="Místn. FAPPZ_C"/>
  </cacheSource>
  <cacheFields count="7">
    <cacheField name="č.místnosti" numFmtId="1">
      <sharedItems containsSemiMixedTypes="0" containsString="0" containsNumber="1" containsInteger="1" minValue="1" maxValue="33"/>
    </cacheField>
    <cacheField name="Využití místnosti " numFmtId="0">
      <sharedItems count="5">
        <s v=" Chodby, schodiště a ostatní"/>
        <s v="Posluchárna"/>
        <s v=" Laboratoře"/>
        <s v=" Kanceláře "/>
        <s v=" Sociální zařízení "/>
      </sharedItems>
    </cacheField>
    <cacheField name="Název" numFmtId="0">
      <sharedItems/>
    </cacheField>
    <cacheField name="plocha (m2)" numFmtId="0">
      <sharedItems containsSemiMixedTypes="0" containsString="0" containsNumber="1" minValue="2.88" maxValue="100.79"/>
    </cacheField>
    <cacheField name="Podlaha" numFmtId="0">
      <sharedItems/>
    </cacheField>
    <cacheField name="Četnost " numFmtId="0">
      <sharedItems containsNonDate="0" containsString="0" containsBlank="1"/>
    </cacheField>
    <cacheField name="Navrhovaná četnost" numFmtId="0">
      <sharedItems count="3">
        <s v="5xT"/>
        <s v="3xT"/>
        <s v="1x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1.577673726853" createdVersion="6" refreshedVersion="6" minRefreshableVersion="3" recordCount="40" xr:uid="{00000000-000A-0000-FFFF-FFFF06000000}">
  <cacheSource type="worksheet">
    <worksheetSource ref="A39:G79" sheet="Místn. FAPPZ_C"/>
  </cacheSource>
  <cacheFields count="7">
    <cacheField name="č.místnosti" numFmtId="1">
      <sharedItems containsSemiMixedTypes="0" containsString="0" containsNumber="1" containsInteger="1" minValue="1" maxValue="40"/>
    </cacheField>
    <cacheField name="Využití místnosti " numFmtId="0">
      <sharedItems count="4">
        <s v=" Chodby, schodiště a ostatní"/>
        <s v=" Laboratoře"/>
        <s v=" Kanceláře "/>
        <s v=" Sociální zařízení "/>
      </sharedItems>
    </cacheField>
    <cacheField name="Název" numFmtId="0">
      <sharedItems/>
    </cacheField>
    <cacheField name="plocha (m2)" numFmtId="0">
      <sharedItems containsSemiMixedTypes="0" containsString="0" containsNumber="1" minValue="1.5" maxValue="92.63"/>
    </cacheField>
    <cacheField name="Podlaha" numFmtId="0">
      <sharedItems/>
    </cacheField>
    <cacheField name="Četnost " numFmtId="0">
      <sharedItems containsNonDate="0" containsString="0" containsBlank="1"/>
    </cacheField>
    <cacheField name="Navrhovaná četnost" numFmtId="0">
      <sharedItems count="3">
        <s v="5xT"/>
        <s v="1xM"/>
        <s v="3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07738888891" createdVersion="6" refreshedVersion="6" minRefreshableVersion="3" recordCount="5" xr:uid="{00000000-000A-0000-FFFF-FFFF07000000}">
  <cacheSource type="worksheet">
    <worksheetSource ref="A1:C6" sheet="Místn. FAPPZ_meteostanice"/>
  </cacheSource>
  <cacheFields count="3">
    <cacheField name="Využití místnosti" numFmtId="0">
      <sharedItems count="5">
        <s v=" Posluchárna"/>
        <s v=" Laboratoře"/>
        <s v=" Kanceláře "/>
        <s v=" Chodby, schodiště a ostatní"/>
        <s v=" Sociální zařízení "/>
      </sharedItems>
    </cacheField>
    <cacheField name="m2" numFmtId="2">
      <sharedItems containsSemiMixedTypes="0" containsString="0" containsNumber="1" minValue="0" maxValue="29.75"/>
    </cacheField>
    <cacheField name="navrhovaná četnost" numFmtId="0">
      <sharedItems count="1">
        <s v="5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recht Vladimír" refreshedDate="44144.420894097224" createdVersion="6" refreshedVersion="6" minRefreshableVersion="3" recordCount="7" xr:uid="{00000000-000A-0000-FFFF-FFFF08000000}">
  <cacheSource type="worksheet">
    <worksheetSource ref="A491:J498" sheet="Místn. FAPPZ_A"/>
  </cacheSource>
  <cacheFields count="10">
    <cacheField name="č.místnosti" numFmtId="49">
      <sharedItems/>
    </cacheField>
    <cacheField name="č.místnosti2" numFmtId="49">
      <sharedItems containsNonDate="0" containsString="0" containsBlank="1"/>
    </cacheField>
    <cacheField name="užití" numFmtId="0">
      <sharedItems/>
    </cacheField>
    <cacheField name="Využití místnosti(předpokládané)" numFmtId="0">
      <sharedItems/>
    </cacheField>
    <cacheField name="Využití místnosti(reálné)" numFmtId="0">
      <sharedItems count="4">
        <s v="Vodafone"/>
        <s v="Chodby, schodiště a ostatní"/>
        <s v="střecha"/>
        <s v="-" u="1"/>
      </sharedItems>
    </cacheField>
    <cacheField name="plocha (m2)" numFmtId="4">
      <sharedItems containsMixedTypes="1" containsNumber="1" minValue="8.3000000000000007" maxValue="1773.7"/>
    </cacheField>
    <cacheField name="výška(m)" numFmtId="0">
      <sharedItems containsBlank="1" containsMixedTypes="1" containsNumber="1" minValue="2.2799999999999998" maxValue="4.49"/>
    </cacheField>
    <cacheField name="povrch podlahy" numFmtId="0">
      <sharedItems/>
    </cacheField>
    <cacheField name="četnost" numFmtId="0">
      <sharedItems count="1">
        <s v="1xM"/>
      </sharedItems>
    </cacheField>
    <cacheField name="povrch stropu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001"/>
    <m/>
    <s v="S"/>
    <s v="Sklad"/>
    <m/>
    <n v="25.25"/>
    <x v="0"/>
    <x v="0"/>
    <s v="Litá podlaha"/>
  </r>
  <r>
    <s v="002"/>
    <m/>
    <s v="KO"/>
    <s v="Zádveří-vstup do 1.PP"/>
    <m/>
    <n v="23.06"/>
    <x v="1"/>
    <x v="0"/>
    <s v="Litá podlaha"/>
  </r>
  <r>
    <s v="002a"/>
    <m/>
    <s v="G"/>
    <s v="Garáž-jízdní kola"/>
    <m/>
    <n v="244.27"/>
    <x v="1"/>
    <x v="0"/>
    <s v="Litá podlaha"/>
  </r>
  <r>
    <s v="002b"/>
    <m/>
    <s v="G"/>
    <s v="Garáž-motocykly"/>
    <m/>
    <n v="68.849999999999994"/>
    <x v="1"/>
    <x v="0"/>
    <s v="Litá podlaha"/>
  </r>
  <r>
    <s v="003"/>
    <m/>
    <s v="KO"/>
    <s v="Výtahová šachta &quot;V1&quot;"/>
    <s v="s"/>
    <n v="4.03"/>
    <x v="1"/>
    <x v="0"/>
    <s v="Bezprašný nátěr"/>
  </r>
  <r>
    <s v="004"/>
    <m/>
    <s v="KO"/>
    <s v="Výtahová šachta &quot;V2&quot;"/>
    <s v="s"/>
    <n v="3.8"/>
    <x v="1"/>
    <x v="0"/>
    <s v="Bezprašný nátěr"/>
  </r>
  <r>
    <s v="005a"/>
    <m/>
    <s v="TM"/>
    <s v="Rozvodna NN"/>
    <s v="s"/>
    <n v="14.45"/>
    <x v="1"/>
    <x v="0"/>
    <s v="Dielektrický koberec"/>
  </r>
  <r>
    <s v="005b"/>
    <m/>
    <s v="TM"/>
    <s v="Ústředna nouzového osvětlení"/>
    <s v="s"/>
    <n v="5.45"/>
    <x v="1"/>
    <x v="0"/>
    <s v="Dielektrický koberec"/>
  </r>
  <r>
    <s v="006"/>
    <m/>
    <s v="TM"/>
    <s v="Strojovna VZT+chlazení"/>
    <s v="s"/>
    <n v="104.88"/>
    <x v="1"/>
    <x v="0"/>
    <s v="Litá podlaha"/>
  </r>
  <r>
    <s v="007"/>
    <s v="KZR"/>
    <s v="V"/>
    <s v="Experimentální místnost"/>
    <m/>
    <n v="30.97"/>
    <x v="0"/>
    <x v="0"/>
    <s v="Litá podlaha"/>
  </r>
  <r>
    <s v="008"/>
    <s v="KZR"/>
    <s v="V"/>
    <s v="Pozorovací komora"/>
    <m/>
    <n v="3.52"/>
    <x v="0"/>
    <x v="0"/>
    <s v="Litá podlaha"/>
  </r>
  <r>
    <s v="009"/>
    <s v="KZR"/>
    <s v="V"/>
    <s v="Experimentální místnost"/>
    <m/>
    <n v="15.02"/>
    <x v="0"/>
    <x v="0"/>
    <s v="Litá podlaha"/>
  </r>
  <r>
    <s v="010"/>
    <s v="KZR"/>
    <s v="V"/>
    <s v="Experimentální místnost"/>
    <m/>
    <n v="17.440000000000001"/>
    <x v="0"/>
    <x v="0"/>
    <s v="Litá podlaha"/>
  </r>
  <r>
    <s v="011"/>
    <m/>
    <s v="KO"/>
    <s v="Chodba"/>
    <m/>
    <n v="39.770000000000003"/>
    <x v="1"/>
    <x v="0"/>
    <s v="Litá podlaha"/>
  </r>
  <r>
    <s v="012"/>
    <m/>
    <s v="TM"/>
    <s v="Dieselagregát"/>
    <s v="s"/>
    <n v="23.46"/>
    <x v="1"/>
    <x v="0"/>
    <s v="Litá podlaha"/>
  </r>
  <r>
    <s v="013"/>
    <m/>
    <s v="TM"/>
    <s v="Kotelna+ohřev TUV"/>
    <s v="s"/>
    <n v="45.54"/>
    <x v="1"/>
    <x v="0"/>
    <s v="Litá podlaha"/>
  </r>
  <r>
    <s v="014"/>
    <m/>
    <s v="KO"/>
    <s v="Schodiště"/>
    <m/>
    <n v="17.940000000000001"/>
    <x v="1"/>
    <x v="0"/>
    <s v="Keramická dlažba"/>
  </r>
  <r>
    <s v="015"/>
    <m/>
    <s v="S"/>
    <s v="Sklad"/>
    <m/>
    <n v="52.94"/>
    <x v="0"/>
    <x v="0"/>
    <s v="Litá podlaha"/>
  </r>
  <r>
    <s v="016"/>
    <m/>
    <s v="S"/>
    <s v="Sklad"/>
    <m/>
    <n v="85.07"/>
    <x v="0"/>
    <x v="0"/>
    <s v="Litá podlaha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5">
  <r>
    <x v="0"/>
    <n v="0"/>
    <x v="0"/>
  </r>
  <r>
    <x v="1"/>
    <n v="33.6"/>
    <x v="0"/>
  </r>
  <r>
    <x v="2"/>
    <n v="24.4"/>
    <x v="0"/>
  </r>
  <r>
    <x v="3"/>
    <n v="182.5"/>
    <x v="0"/>
  </r>
  <r>
    <x v="4"/>
    <n v="114.8"/>
    <x v="0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86">
  <r>
    <s v="S01"/>
    <s v="S01"/>
    <s v="sklad"/>
    <s v="Laboratoře"/>
    <x v="0"/>
    <n v="10.7"/>
    <s v="beton"/>
    <m/>
    <x v="0"/>
  </r>
  <r>
    <s v="S02"/>
    <s v="S02"/>
    <s v="laboratoř"/>
    <s v="Laboratoře"/>
    <x v="0"/>
    <n v="32.5"/>
    <s v="pvc"/>
    <m/>
    <x v="1"/>
  </r>
  <r>
    <s v="S03"/>
    <s v="S03"/>
    <s v="kancelář"/>
    <s v="kancelář"/>
    <x v="1"/>
    <n v="11.2"/>
    <s v="pvc"/>
    <m/>
    <x v="0"/>
  </r>
  <r>
    <s v="S04"/>
    <s v="S04"/>
    <s v="laboratoř"/>
    <s v="Laboratoře"/>
    <x v="0"/>
    <n v="17.100000000000001"/>
    <s v="pvc"/>
    <m/>
    <x v="2"/>
  </r>
  <r>
    <s v="S05"/>
    <s v="S05"/>
    <s v="laboratoř"/>
    <s v="Laboratoře"/>
    <x v="0"/>
    <n v="11.2"/>
    <s v="pvc"/>
    <m/>
    <x v="1"/>
  </r>
  <r>
    <s v="S06"/>
    <s v="S06"/>
    <s v="laboratoř"/>
    <s v="Laboratoře"/>
    <x v="0"/>
    <n v="16.7"/>
    <s v="pvc"/>
    <m/>
    <x v="0"/>
  </r>
  <r>
    <s v="S07"/>
    <s v="S07"/>
    <s v="sklad"/>
    <s v="Chodby, schodiště a ostatní"/>
    <x v="2"/>
    <n v="11.2"/>
    <s v="keramická dl."/>
    <m/>
    <x v="0"/>
  </r>
  <r>
    <s v="S08"/>
    <m/>
    <s v="laboratoř"/>
    <s v="Laboratoře"/>
    <x v="0"/>
    <n v="33.299999999999997"/>
    <s v="pvc"/>
    <m/>
    <x v="1"/>
  </r>
  <r>
    <s v="S09"/>
    <s v="S09"/>
    <s v="laboratoř"/>
    <s v="Laboratoře"/>
    <x v="0"/>
    <n v="10.8"/>
    <s v="beton"/>
    <m/>
    <x v="0"/>
  </r>
  <r>
    <s v="S09a   "/>
    <s v="S09a   "/>
    <s v="laboratoř"/>
    <s v="Laboratoře"/>
    <x v="0"/>
    <n v="10.6"/>
    <s v="beton"/>
    <m/>
    <x v="0"/>
  </r>
  <r>
    <s v="S09b   "/>
    <s v="S09b   "/>
    <s v="chladící boxy"/>
    <s v="Laboratoře"/>
    <x v="0"/>
    <n v="21.7"/>
    <s v="beton"/>
    <m/>
    <x v="0"/>
  </r>
  <r>
    <s v="S10"/>
    <m/>
    <s v="kancelář"/>
    <s v="kancelář"/>
    <x v="1"/>
    <n v="10.9"/>
    <s v="pvc"/>
    <m/>
    <x v="0"/>
  </r>
  <r>
    <s v="S11"/>
    <m/>
    <s v="strojovna VZT"/>
    <s v="Chodby, schodiště a ostatní"/>
    <x v="2"/>
    <n v="11.8"/>
    <s v="beton"/>
    <m/>
    <x v="3"/>
  </r>
  <r>
    <s v="S12"/>
    <s v="S12"/>
    <s v="laboratoř"/>
    <s v="Laboratoře"/>
    <x v="0"/>
    <n v="17"/>
    <s v="pvc"/>
    <m/>
    <x v="1"/>
  </r>
  <r>
    <s v="S12a"/>
    <m/>
    <s v="laboratoř"/>
    <s v="Laboratoře"/>
    <x v="0"/>
    <n v="4.9000000000000004"/>
    <s v="pvc"/>
    <m/>
    <x v="1"/>
  </r>
  <r>
    <s v="S13"/>
    <s v="S13"/>
    <s v="sklad"/>
    <s v="Laboratoře"/>
    <x v="0"/>
    <n v="9.3000000000000007"/>
    <s v="keramická dl."/>
    <m/>
    <x v="0"/>
  </r>
  <r>
    <s v="S14a"/>
    <s v="S14a"/>
    <s v="laboratoř"/>
    <s v="Laboratoře"/>
    <x v="0"/>
    <n v="16.899999999999999"/>
    <s v="keramická dl."/>
    <m/>
    <x v="1"/>
  </r>
  <r>
    <s v="S14b"/>
    <s v="S14b"/>
    <s v="sklad"/>
    <s v="Laboratoře"/>
    <x v="0"/>
    <n v="16.7"/>
    <s v="keramická dl."/>
    <m/>
    <x v="0"/>
  </r>
  <r>
    <s v="S15"/>
    <s v="S15"/>
    <s v="rozborovna"/>
    <s v="Laboratoře"/>
    <x v="0"/>
    <n v="22.5"/>
    <s v="pvc"/>
    <m/>
    <x v="1"/>
  </r>
  <r>
    <s v="S16"/>
    <s v="S16"/>
    <s v="knihovna"/>
    <s v="kancelář"/>
    <x v="1"/>
    <n v="18"/>
    <s v="keramická dl."/>
    <m/>
    <x v="0"/>
  </r>
  <r>
    <s v="S17"/>
    <s v="S17"/>
    <s v="sklad"/>
    <s v="Chodby, schodiště a ostatní"/>
    <x v="2"/>
    <n v="22.7"/>
    <s v="teraco"/>
    <m/>
    <x v="0"/>
  </r>
  <r>
    <s v="S18"/>
    <s v="S18"/>
    <s v="přípravna"/>
    <s v="Laboratoře"/>
    <x v="0"/>
    <n v="16.100000000000001"/>
    <s v="pvc"/>
    <m/>
    <x v="1"/>
  </r>
  <r>
    <s v="S19"/>
    <s v="S19"/>
    <s v="laboratoř"/>
    <s v="Laboratoře"/>
    <x v="0"/>
    <n v="10.8"/>
    <s v="pvc"/>
    <m/>
    <x v="1"/>
  </r>
  <r>
    <s v="S20"/>
    <s v="S20"/>
    <s v="předsíň"/>
    <s v="Laboratoře"/>
    <x v="0"/>
    <n v="2.6"/>
    <s v="pvc"/>
    <m/>
    <x v="1"/>
  </r>
  <r>
    <s v="S20a   "/>
    <m/>
    <s v="laboratoř"/>
    <s v="Laboratoře"/>
    <x v="0"/>
    <n v="2.2000000000000002"/>
    <s v="keramická dl."/>
    <m/>
    <x v="0"/>
  </r>
  <r>
    <s v="S20b   "/>
    <m/>
    <s v="laboratoř"/>
    <s v="Laboratoře"/>
    <x v="0"/>
    <n v="11.9"/>
    <s v="pvc"/>
    <m/>
    <x v="0"/>
  </r>
  <r>
    <s v="S20c   "/>
    <m/>
    <s v="laboratoř"/>
    <s v="Laboratoře"/>
    <x v="0"/>
    <n v="15.6"/>
    <s v="pvc"/>
    <m/>
    <x v="0"/>
  </r>
  <r>
    <s v="S21"/>
    <n v="21"/>
    <s v="předsíň"/>
    <s v="Laboratoře"/>
    <x v="0"/>
    <n v="6.5"/>
    <s v="pvc"/>
    <m/>
    <x v="1"/>
  </r>
  <r>
    <s v="S21a   "/>
    <m/>
    <s v="temná komora"/>
    <s v="Laboratoře"/>
    <x v="0"/>
    <n v="4.5"/>
    <s v="keramická dl."/>
    <m/>
    <x v="0"/>
  </r>
  <r>
    <s v="S22"/>
    <n v="22"/>
    <s v="sklad"/>
    <s v="Laboratoře"/>
    <x v="0"/>
    <n v="16.600000000000001"/>
    <s v="teraco"/>
    <m/>
    <x v="0"/>
  </r>
  <r>
    <s v="S23"/>
    <n v="23"/>
    <s v="sklad"/>
    <s v="Laboratoře"/>
    <x v="0"/>
    <n v="22.8"/>
    <s v="pvc"/>
    <m/>
    <x v="0"/>
  </r>
  <r>
    <s v="S24"/>
    <n v="24"/>
    <s v="laboratoř"/>
    <s v="Laboratoře"/>
    <x v="0"/>
    <n v="5.7"/>
    <s v="keramická dl."/>
    <m/>
    <x v="1"/>
  </r>
  <r>
    <s v="S24a"/>
    <m/>
    <s v="laboratoř"/>
    <s v="Laboratoře"/>
    <x v="0"/>
    <n v="10.7"/>
    <s v="keramická dl."/>
    <m/>
    <x v="1"/>
  </r>
  <r>
    <s v="S25"/>
    <n v="25"/>
    <s v="šatna úklidu"/>
    <s v="Chodby, schodiště a ostatní"/>
    <x v="2"/>
    <n v="11"/>
    <s v="pvc"/>
    <m/>
    <x v="1"/>
  </r>
  <r>
    <s v="S25a   "/>
    <m/>
    <s v="serverovna"/>
    <s v="Chodby, schodiště a ostatní"/>
    <x v="2"/>
    <n v="6.7"/>
    <s v="keramická dl."/>
    <m/>
    <x v="3"/>
  </r>
  <r>
    <s v="S25b"/>
    <m/>
    <s v="sociální zařízení"/>
    <s v=" Sociální zařízení "/>
    <x v="3"/>
    <n v="2.5"/>
    <s v="keramická dl."/>
    <m/>
    <x v="1"/>
  </r>
  <r>
    <s v="S25c"/>
    <m/>
    <s v="WC"/>
    <s v=" Sociální zařízení "/>
    <x v="3"/>
    <n v="1.3"/>
    <s v="keramická dl."/>
    <m/>
    <x v="1"/>
  </r>
  <r>
    <s v="S26"/>
    <s v="S26"/>
    <s v="laboratoř"/>
    <s v="Laboratoře"/>
    <x v="0"/>
    <n v="14.1"/>
    <s v="pvc"/>
    <m/>
    <x v="1"/>
  </r>
  <r>
    <s v="S26a"/>
    <m/>
    <s v="kompresorovna"/>
    <s v="Chodby, schodiště a ostatní"/>
    <x v="2"/>
    <n v="2.2999999999999998"/>
    <s v="pvc"/>
    <m/>
    <x v="3"/>
  </r>
  <r>
    <s v="S27a"/>
    <s v="27a"/>
    <s v="kancelář doktorandi"/>
    <s v="kancelář"/>
    <x v="1"/>
    <n v="11.32"/>
    <s v="pvc"/>
    <m/>
    <x v="0"/>
  </r>
  <r>
    <s v="S27b"/>
    <s v="27b"/>
    <s v="knihovna"/>
    <s v="kancelář"/>
    <x v="1"/>
    <n v="10.8"/>
    <s v="pvc"/>
    <m/>
    <x v="0"/>
  </r>
  <r>
    <s v="S28"/>
    <s v="S28"/>
    <s v="laboratoř"/>
    <s v="Laboratoře"/>
    <x v="0"/>
    <n v="31.5"/>
    <s v="keramická dl."/>
    <m/>
    <x v="1"/>
  </r>
  <r>
    <s v="S29"/>
    <s v="S29"/>
    <s v="kompresorovna"/>
    <s v="Chodby, schodiště a ostatní"/>
    <x v="2"/>
    <n v="11"/>
    <s v="beton"/>
    <m/>
    <x v="3"/>
  </r>
  <r>
    <s v="S30"/>
    <s v="S30"/>
    <s v="laboratoř"/>
    <s v="Laboratoře"/>
    <x v="0"/>
    <n v="34.200000000000003"/>
    <s v="pvc"/>
    <m/>
    <x v="0"/>
  </r>
  <r>
    <s v="S31"/>
    <s v="S31"/>
    <s v="server"/>
    <s v="Chodby, schodiště a ostatní"/>
    <x v="2"/>
    <n v="11.1"/>
    <s v="pvc"/>
    <m/>
    <x v="0"/>
  </r>
  <r>
    <s v="S32"/>
    <s v="S32"/>
    <s v="laboratoř"/>
    <s v="Laboratoře"/>
    <x v="0"/>
    <n v="34.9"/>
    <s v="keramická dl."/>
    <m/>
    <x v="1"/>
  </r>
  <r>
    <s v="S33"/>
    <s v="S33"/>
    <s v="sklad"/>
    <s v="Laboratoře"/>
    <x v="0"/>
    <n v="23.5"/>
    <s v="pvc"/>
    <m/>
    <x v="0"/>
  </r>
  <r>
    <s v="S34"/>
    <s v="S34"/>
    <s v="laboratoř"/>
    <s v="Laboratoře"/>
    <x v="0"/>
    <n v="17"/>
    <s v="keramická dl."/>
    <m/>
    <x v="1"/>
  </r>
  <r>
    <s v="S35"/>
    <s v="S35"/>
    <s v="kabelové závěry"/>
    <s v="Chodby, schodiště a ostatní"/>
    <x v="2"/>
    <n v="11.2"/>
    <s v="pvc"/>
    <m/>
    <x v="3"/>
  </r>
  <r>
    <s v="S36"/>
    <s v="S36"/>
    <s v="laboratoř"/>
    <s v="Laboratoře"/>
    <x v="0"/>
    <n v="16.2"/>
    <s v="pvc"/>
    <m/>
    <x v="0"/>
  </r>
  <r>
    <s v="S36a   "/>
    <s v="S36a   "/>
    <s v="laboratoř"/>
    <s v="Laboratoře"/>
    <x v="0"/>
    <n v="14.7"/>
    <s v="pvc"/>
    <m/>
    <x v="0"/>
  </r>
  <r>
    <s v="S36b   "/>
    <s v="S36b   "/>
    <s v="laboratoř"/>
    <s v="Laboratoře"/>
    <x v="0"/>
    <n v="15.3"/>
    <s v="pvc"/>
    <m/>
    <x v="0"/>
  </r>
  <r>
    <s v="S37"/>
    <s v="S37"/>
    <s v="laboratoř"/>
    <s v="Laboratoře"/>
    <x v="0"/>
    <n v="11.7"/>
    <s v="pvc"/>
    <m/>
    <x v="1"/>
  </r>
  <r>
    <s v="S38"/>
    <s v="S38"/>
    <s v="laboratoř"/>
    <s v="Laboratoře"/>
    <x v="0"/>
    <n v="17.2"/>
    <s v="pvc"/>
    <m/>
    <x v="1"/>
  </r>
  <r>
    <s v="S38a   "/>
    <s v="S38a   "/>
    <s v="laboratoř"/>
    <s v="Laboratoře"/>
    <x v="0"/>
    <n v="15.4"/>
    <s v="pvc"/>
    <m/>
    <x v="1"/>
  </r>
  <r>
    <s v="S39"/>
    <s v="S39"/>
    <s v="předsíň"/>
    <s v="Chodby, schodiště a ostatní"/>
    <x v="2"/>
    <n v="2.8"/>
    <s v="beton"/>
    <m/>
    <x v="1"/>
  </r>
  <r>
    <s v="S39a   "/>
    <s v="S39a   "/>
    <s v="rozvodna"/>
    <s v="Chodby, schodiště a ostatní"/>
    <x v="2"/>
    <n v="14.6"/>
    <s v="kyselinovzdorná dl."/>
    <m/>
    <x v="1"/>
  </r>
  <r>
    <s v="S40"/>
    <s v="S40"/>
    <s v="předsíň"/>
    <s v="Chodby, schodiště a ostatní"/>
    <x v="2"/>
    <n v="3"/>
    <s v="keramická dl."/>
    <m/>
    <x v="1"/>
  </r>
  <r>
    <s v="S40a   "/>
    <s v="S40a   "/>
    <s v="depozitář"/>
    <s v="Chodby, schodiště a ostatní"/>
    <x v="2"/>
    <n v="12.4"/>
    <s v="beton"/>
    <m/>
    <x v="0"/>
  </r>
  <r>
    <s v="S41"/>
    <s v="S41"/>
    <s v="sklad"/>
    <s v="Chodby, schodiště a ostatní"/>
    <x v="2"/>
    <n v="4.9000000000000004"/>
    <s v="beton"/>
    <m/>
    <x v="0"/>
  </r>
  <r>
    <s v="S42"/>
    <s v="S42"/>
    <s v="laboratoř"/>
    <s v="Laboratoře"/>
    <x v="0"/>
    <n v="11.1"/>
    <s v="keramická dl."/>
    <m/>
    <x v="0"/>
  </r>
  <r>
    <s v="S42a"/>
    <m/>
    <s v="laboratoř"/>
    <s v="Laboratoře"/>
    <x v="0"/>
    <n v="6"/>
    <s v="keramická dl."/>
    <m/>
    <x v="1"/>
  </r>
  <r>
    <s v="S43"/>
    <s v="S43"/>
    <s v="laboratoř"/>
    <s v="Laboratoře"/>
    <x v="0"/>
    <n v="12.2"/>
    <s v="pvc"/>
    <m/>
    <x v="1"/>
  </r>
  <r>
    <s v="S43b   "/>
    <s v="S43b   "/>
    <s v="sklad"/>
    <s v="Laboratoře"/>
    <x v="0"/>
    <n v="10.1"/>
    <s v="pvc"/>
    <m/>
    <x v="0"/>
  </r>
  <r>
    <s v="S44"/>
    <s v="S44"/>
    <s v="depozitář"/>
    <s v="Chodby, schodiště a ostatní"/>
    <x v="2"/>
    <n v="16.2"/>
    <s v="pvc"/>
    <m/>
    <x v="0"/>
  </r>
  <r>
    <s v="S45"/>
    <s v="S45"/>
    <s v="laboratoř"/>
    <s v="Laboratoře"/>
    <x v="2"/>
    <n v="22.49"/>
    <s v="teracová dl."/>
    <m/>
    <x v="1"/>
  </r>
  <r>
    <s v="S46"/>
    <s v="S46"/>
    <s v="laboratoř"/>
    <s v="Laboratoře"/>
    <x v="0"/>
    <n v="14.9"/>
    <s v="pvc"/>
    <m/>
    <x v="0"/>
  </r>
  <r>
    <s v="S46a   "/>
    <m/>
    <s v="předsíň"/>
    <s v="Laboratoře"/>
    <x v="0"/>
    <n v="0.9"/>
    <s v="teraco"/>
    <m/>
    <x v="0"/>
  </r>
  <r>
    <s v="S46b   "/>
    <m/>
    <s v="umývárna"/>
    <s v="Laboratoře"/>
    <x v="0"/>
    <n v="7.8"/>
    <s v="teraco"/>
    <m/>
    <x v="0"/>
  </r>
  <r>
    <s v="S46c   "/>
    <m/>
    <s v="laboratoř"/>
    <s v="Laboratoře"/>
    <x v="0"/>
    <n v="8.1999999999999993"/>
    <s v="teraco"/>
    <m/>
    <x v="0"/>
  </r>
  <r>
    <s v="S46d   "/>
    <m/>
    <s v="předsíň"/>
    <s v="Laboratoře"/>
    <x v="0"/>
    <n v="0.9"/>
    <s v="teraco"/>
    <m/>
    <x v="0"/>
  </r>
  <r>
    <s v="S47"/>
    <s v="S47"/>
    <s v="laboratoř"/>
    <s v="Laboratoře"/>
    <x v="0"/>
    <n v="22.4"/>
    <s v="pvc"/>
    <m/>
    <x v="0"/>
  </r>
  <r>
    <s v="S48"/>
    <m/>
    <s v="strojovna"/>
    <s v="Chodby, schodiště a ostatní"/>
    <x v="2"/>
    <n v="34.9"/>
    <s v="beton"/>
    <m/>
    <x v="3"/>
  </r>
  <r>
    <s v="S50"/>
    <m/>
    <s v="plynová kotelna"/>
    <s v="Chodby, schodiště a ostatní"/>
    <x v="2"/>
    <n v="69.8"/>
    <s v="beton"/>
    <m/>
    <x v="3"/>
  </r>
  <r>
    <s v="S51"/>
    <m/>
    <s v="sklad"/>
    <s v="Chodby, schodiště a ostatní"/>
    <x v="2"/>
    <n v="13.9"/>
    <s v="beton"/>
    <m/>
    <x v="3"/>
  </r>
  <r>
    <s v="S52"/>
    <m/>
    <s v="rozvodna"/>
    <s v="Chodby, schodiště a ostatní"/>
    <x v="2"/>
    <n v="16"/>
    <s v="beton"/>
    <m/>
    <x v="3"/>
  </r>
  <r>
    <s v="S53"/>
    <s v="S53"/>
    <s v="sklad toxických látek"/>
    <s v="Laboratoře"/>
    <x v="0"/>
    <n v="18.399999999999999"/>
    <s v="keramická dl."/>
    <m/>
    <x v="0"/>
  </r>
  <r>
    <s v="S54"/>
    <m/>
    <s v="sklad"/>
    <s v="Laboratoře"/>
    <x v="0"/>
    <n v="7.3"/>
    <s v="keramická dl."/>
    <m/>
    <x v="0"/>
  </r>
  <r>
    <s v="S54a   "/>
    <m/>
    <s v="sklad"/>
    <s v="Laboratoře"/>
    <x v="0"/>
    <n v="3.5"/>
    <s v="keramická dl."/>
    <m/>
    <x v="0"/>
  </r>
  <r>
    <s v="S55"/>
    <m/>
    <s v="sklad"/>
    <s v="Laboratoře"/>
    <x v="0"/>
    <n v="9.08"/>
    <s v="beton"/>
    <m/>
    <x v="0"/>
  </r>
  <r>
    <s v="S56"/>
    <m/>
    <s v="strojovna"/>
    <s v="Chodby, schodiště a ostatní"/>
    <x v="2"/>
    <n v="69.7"/>
    <s v="beton"/>
    <m/>
    <x v="3"/>
  </r>
  <r>
    <s v="S92"/>
    <m/>
    <s v="výtah"/>
    <s v="výtah"/>
    <x v="4"/>
    <n v="1.2"/>
    <m/>
    <m/>
    <x v="1"/>
  </r>
  <r>
    <s v="S93"/>
    <m/>
    <s v="výtah"/>
    <s v="výtah"/>
    <x v="4"/>
    <n v="1.2"/>
    <m/>
    <m/>
    <x v="1"/>
  </r>
  <r>
    <s v="S94"/>
    <m/>
    <s v="výtah"/>
    <s v="výtah"/>
    <x v="4"/>
    <n v="1.65"/>
    <m/>
    <m/>
    <x v="1"/>
  </r>
  <r>
    <s v="S95a   "/>
    <m/>
    <s v="chodba"/>
    <s v="Chodby, schodiště a ostatní"/>
    <x v="2"/>
    <n v="360"/>
    <s v="keramická dl."/>
    <m/>
    <x v="1"/>
  </r>
  <r>
    <s v="S95f   "/>
    <m/>
    <s v="chodba"/>
    <s v="Chodby, schodiště a ostatní"/>
    <x v="2"/>
    <n v="23.97"/>
    <s v="keramická dl."/>
    <m/>
    <x v="1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104">
  <r>
    <s v="01"/>
    <s v="01"/>
    <s v="kancelář"/>
    <s v="Kancelář"/>
    <x v="0"/>
    <n v="20.7"/>
    <s v="koberec"/>
    <m/>
    <x v="0"/>
  </r>
  <r>
    <s v="02"/>
    <s v="02"/>
    <s v="laboratoř"/>
    <s v="Laboratoře"/>
    <x v="1"/>
    <n v="33.5"/>
    <s v="pvc"/>
    <m/>
    <x v="1"/>
  </r>
  <r>
    <s v="02a   "/>
    <s v="02a   "/>
    <s v="kancelář"/>
    <s v="Kancelář"/>
    <x v="0"/>
    <n v="5.6"/>
    <s v="keramická dl."/>
    <m/>
    <x v="0"/>
  </r>
  <r>
    <s v="03"/>
    <s v="03"/>
    <s v="kancelář"/>
    <s v="Kancelář"/>
    <x v="0"/>
    <n v="10.199999999999999"/>
    <s v="koberec"/>
    <m/>
    <x v="0"/>
  </r>
  <r>
    <s v="04"/>
    <s v="04"/>
    <s v="laboratoř"/>
    <s v="Laboratoře"/>
    <x v="1"/>
    <n v="32.1"/>
    <s v="pvc"/>
    <m/>
    <x v="1"/>
  </r>
  <r>
    <s v="05"/>
    <s v="05"/>
    <s v="kancelář"/>
    <s v="Kancelář"/>
    <x v="0"/>
    <n v="11.3"/>
    <s v="pvc"/>
    <m/>
    <x v="0"/>
  </r>
  <r>
    <s v="06"/>
    <s v="06"/>
    <s v="laboratoř"/>
    <s v="Laboratoře"/>
    <x v="1"/>
    <n v="32.700000000000003"/>
    <s v="pvc"/>
    <m/>
    <x v="1"/>
  </r>
  <r>
    <s v="07"/>
    <s v="07"/>
    <s v="kancelář"/>
    <s v="Kancelář"/>
    <x v="0"/>
    <n v="21"/>
    <s v="plovoucí podl."/>
    <m/>
    <x v="0"/>
  </r>
  <r>
    <s v="08"/>
    <s v="08"/>
    <s v="laboratoř"/>
    <s v="Laboratoře"/>
    <x v="1"/>
    <n v="31.7"/>
    <s v="pvc"/>
    <m/>
    <x v="1"/>
  </r>
  <r>
    <s v="09"/>
    <s v="09"/>
    <s v="kancelář"/>
    <s v="Kancelář"/>
    <x v="0"/>
    <n v="10.199999999999999"/>
    <s v="plovoucí podl."/>
    <m/>
    <x v="0"/>
  </r>
  <r>
    <n v="10"/>
    <n v="10"/>
    <s v="laboratoř"/>
    <s v="Laboratoře"/>
    <x v="1"/>
    <n v="31.7"/>
    <s v="pvc"/>
    <m/>
    <x v="1"/>
  </r>
  <r>
    <s v="10a   "/>
    <m/>
    <s v="laboratoř"/>
    <s v="Laboratoře"/>
    <x v="1"/>
    <n v="10.8"/>
    <s v="pvc"/>
    <m/>
    <x v="1"/>
  </r>
  <r>
    <s v="10b   "/>
    <m/>
    <s v="laboratoř"/>
    <s v="Laboratoře"/>
    <x v="1"/>
    <n v="7.2"/>
    <s v="pvc"/>
    <m/>
    <x v="1"/>
  </r>
  <r>
    <n v="11"/>
    <n v="11"/>
    <s v="kancelář"/>
    <s v="Kancelář"/>
    <x v="0"/>
    <n v="10.199999999999999"/>
    <s v="pvc"/>
    <m/>
    <x v="0"/>
  </r>
  <r>
    <n v="12"/>
    <n v="12"/>
    <s v="laboratoř"/>
    <s v="Laboratoře"/>
    <x v="1"/>
    <n v="33.799999999999997"/>
    <s v="pvc"/>
    <m/>
    <x v="1"/>
  </r>
  <r>
    <s v="12a   "/>
    <m/>
    <s v="laboratoř"/>
    <s v="Laboratoře"/>
    <x v="1"/>
    <n v="9.6"/>
    <s v="pvc"/>
    <m/>
    <x v="1"/>
  </r>
  <r>
    <s v="12b   "/>
    <m/>
    <s v="laboratoř"/>
    <s v="Laboratoře"/>
    <x v="1"/>
    <n v="6.5"/>
    <s v="pvc"/>
    <m/>
    <x v="1"/>
  </r>
  <r>
    <n v="13"/>
    <n v="13"/>
    <s v="kancelář"/>
    <s v="Kancelář"/>
    <x v="0"/>
    <n v="10.8"/>
    <s v="pvc"/>
    <m/>
    <x v="0"/>
  </r>
  <r>
    <n v="14"/>
    <n v="14"/>
    <s v="cvičebna"/>
    <s v="Posluchárna"/>
    <x v="2"/>
    <n v="66.2"/>
    <s v="pvc"/>
    <m/>
    <x v="1"/>
  </r>
  <r>
    <n v="15"/>
    <n v="15"/>
    <s v="kancelář"/>
    <s v="Kancelář"/>
    <x v="0"/>
    <n v="11.2"/>
    <s v="pvc"/>
    <m/>
    <x v="0"/>
  </r>
  <r>
    <n v="16"/>
    <n v="16"/>
    <s v="laboratoř"/>
    <s v="Laboratoře"/>
    <x v="1"/>
    <n v="33"/>
    <s v="pvc"/>
    <m/>
    <x v="1"/>
  </r>
  <r>
    <n v="17"/>
    <n v="17"/>
    <s v="kancelář"/>
    <s v="Kancelář"/>
    <x v="0"/>
    <n v="11"/>
    <s v="koberec"/>
    <m/>
    <x v="0"/>
  </r>
  <r>
    <n v="18"/>
    <n v="18"/>
    <s v="učebna"/>
    <s v="Posluchárna"/>
    <x v="2"/>
    <n v="63.4"/>
    <s v="pvc"/>
    <m/>
    <x v="1"/>
  </r>
  <r>
    <s v="18a"/>
    <m/>
    <s v="server"/>
    <s v="Chodby, schodiště a ostatní"/>
    <x v="3"/>
    <n v="2.2000000000000002"/>
    <s v="pvc"/>
    <m/>
    <x v="2"/>
  </r>
  <r>
    <n v="19"/>
    <n v="19"/>
    <s v="kancelář"/>
    <s v="Kancelář"/>
    <x v="0"/>
    <n v="11.1"/>
    <s v="pvc"/>
    <m/>
    <x v="0"/>
  </r>
  <r>
    <n v="20"/>
    <s v="22"/>
    <s v="PC učebna"/>
    <s v="Posluchárna"/>
    <x v="2"/>
    <n v="32.799999999999997"/>
    <s v="pvc"/>
    <m/>
    <x v="1"/>
  </r>
  <r>
    <n v="21"/>
    <n v="21"/>
    <s v="kancelář"/>
    <s v="Kancelář"/>
    <x v="0"/>
    <n v="10.8"/>
    <s v="pvc"/>
    <m/>
    <x v="0"/>
  </r>
  <r>
    <n v="22"/>
    <n v="22"/>
    <s v="zasedací místnost"/>
    <s v="Posluchárna"/>
    <x v="2"/>
    <n v="55.6"/>
    <s v="koberec"/>
    <m/>
    <x v="1"/>
  </r>
  <r>
    <s v="22a   "/>
    <s v="22a   "/>
    <s v="kuchyňka"/>
    <s v="Kancelář"/>
    <x v="0"/>
    <n v="12.9"/>
    <s v="keramická dl."/>
    <m/>
    <x v="0"/>
  </r>
  <r>
    <n v="23"/>
    <n v="23"/>
    <s v="kancelář"/>
    <s v="Kancelář"/>
    <x v="0"/>
    <n v="12.2"/>
    <s v="pvc"/>
    <m/>
    <x v="0"/>
  </r>
  <r>
    <n v="25"/>
    <n v="25"/>
    <s v="laboratoř"/>
    <s v="Laboratoře"/>
    <x v="1"/>
    <n v="11.2"/>
    <s v="kyselinovzdorná dl."/>
    <m/>
    <x v="1"/>
  </r>
  <r>
    <s v="25a   "/>
    <s v="25a   "/>
    <s v="laboratoř"/>
    <s v="Laboratoře"/>
    <x v="1"/>
    <n v="11.1"/>
    <s v="kyselinovzdorná dl."/>
    <m/>
    <x v="1"/>
  </r>
  <r>
    <n v="27"/>
    <n v="27"/>
    <s v="kancelář"/>
    <s v="Kancelář"/>
    <x v="0"/>
    <n v="22.7"/>
    <s v="pvc"/>
    <m/>
    <x v="0"/>
  </r>
  <r>
    <n v="28"/>
    <n v="28"/>
    <s v="cvičebna"/>
    <s v="Posluchárna"/>
    <x v="2"/>
    <n v="67.599999999999994"/>
    <s v="pvc"/>
    <m/>
    <x v="1"/>
  </r>
  <r>
    <n v="29"/>
    <n v="29"/>
    <s v="kancelář"/>
    <s v="Kancelář"/>
    <x v="0"/>
    <n v="11.1"/>
    <s v="koberec"/>
    <m/>
    <x v="0"/>
  </r>
  <r>
    <n v="30"/>
    <n v="30"/>
    <s v="laboratoř"/>
    <s v="Laboratoře"/>
    <x v="1"/>
    <n v="16.600000000000001"/>
    <s v="pvc"/>
    <m/>
    <x v="1"/>
  </r>
  <r>
    <s v="30a   "/>
    <s v="30a   "/>
    <s v="laboratoř"/>
    <s v="Laboratoře"/>
    <x v="1"/>
    <n v="16.600000000000001"/>
    <s v="pvc"/>
    <m/>
    <x v="1"/>
  </r>
  <r>
    <n v="31"/>
    <n v="31"/>
    <s v="kancelář"/>
    <s v="Kancelář"/>
    <x v="0"/>
    <n v="11.2"/>
    <s v="pvc"/>
    <m/>
    <x v="0"/>
  </r>
  <r>
    <n v="32"/>
    <n v="32"/>
    <s v="předsíň"/>
    <s v="Laboratoře"/>
    <x v="1"/>
    <n v="4.5999999999999996"/>
    <s v="pvc"/>
    <m/>
    <x v="1"/>
  </r>
  <r>
    <s v="32a   "/>
    <s v="32a   "/>
    <s v="laboratoř"/>
    <s v="Laboratoře"/>
    <x v="1"/>
    <n v="13.7"/>
    <s v="pvc"/>
    <m/>
    <x v="1"/>
  </r>
  <r>
    <s v="32b   "/>
    <s v="32b   "/>
    <s v="laboratoř"/>
    <s v="Laboratoře"/>
    <x v="1"/>
    <n v="13.9"/>
    <s v="pvc"/>
    <m/>
    <x v="1"/>
  </r>
  <r>
    <n v="33"/>
    <n v="33"/>
    <s v="seminární místnost"/>
    <s v="Posluchárna"/>
    <x v="2"/>
    <n v="22.9"/>
    <s v="pvc"/>
    <m/>
    <x v="1"/>
  </r>
  <r>
    <n v="34"/>
    <n v="34"/>
    <s v="laboratoř"/>
    <s v="Laboratoře"/>
    <x v="1"/>
    <n v="10.199999999999999"/>
    <s v="pvc"/>
    <m/>
    <x v="1"/>
  </r>
  <r>
    <s v="34a   "/>
    <s v="34a   "/>
    <s v="laboratoř"/>
    <s v="Laboratoře"/>
    <x v="1"/>
    <n v="6.5"/>
    <s v="pvc"/>
    <m/>
    <x v="1"/>
  </r>
  <r>
    <s v="34b   "/>
    <s v="34b   "/>
    <s v="laboratoř"/>
    <s v="Laboratoře"/>
    <x v="1"/>
    <n v="14.1"/>
    <s v="pvc"/>
    <m/>
    <x v="1"/>
  </r>
  <r>
    <s v="34c   "/>
    <s v="34c   "/>
    <s v="sprcha"/>
    <s v=" Sociální zařízení "/>
    <x v="4"/>
    <n v="1.9"/>
    <s v="pvc"/>
    <m/>
    <x v="1"/>
  </r>
  <r>
    <n v="35"/>
    <n v="35"/>
    <s v="kancelář"/>
    <s v="Kancelář"/>
    <x v="0"/>
    <n v="12.5"/>
    <s v="koberec"/>
    <m/>
    <x v="0"/>
  </r>
  <r>
    <s v="35a   "/>
    <s v="35a   "/>
    <s v="kancelář"/>
    <s v="Kancelář"/>
    <x v="0"/>
    <n v="11"/>
    <s v="pvc"/>
    <m/>
    <x v="0"/>
  </r>
  <r>
    <n v="37"/>
    <n v="37"/>
    <s v="kancelář"/>
    <s v="Kancelář"/>
    <x v="0"/>
    <n v="21.9"/>
    <s v="koberec"/>
    <m/>
    <x v="0"/>
  </r>
  <r>
    <n v="39"/>
    <n v="39"/>
    <s v="kancelář"/>
    <s v="Kancelář"/>
    <x v="0"/>
    <n v="10.3"/>
    <s v="pvc"/>
    <m/>
    <x v="0"/>
  </r>
  <r>
    <n v="41"/>
    <n v="41"/>
    <s v="kancelář"/>
    <s v="Kancelář"/>
    <x v="0"/>
    <n v="10.3"/>
    <s v="pvc"/>
    <m/>
    <x v="0"/>
  </r>
  <r>
    <n v="43"/>
    <n v="43"/>
    <s v="kancelář"/>
    <s v="Kancelář"/>
    <x v="0"/>
    <n v="10.5"/>
    <s v="pvc"/>
    <m/>
    <x v="0"/>
  </r>
  <r>
    <n v="45"/>
    <n v="45"/>
    <s v="kancelář"/>
    <s v="Kancelář"/>
    <x v="0"/>
    <n v="10.5"/>
    <s v="pvc"/>
    <m/>
    <x v="0"/>
  </r>
  <r>
    <n v="47"/>
    <n v="47"/>
    <s v="kancelář"/>
    <s v="Kancelář"/>
    <x v="0"/>
    <n v="10.199999999999999"/>
    <s v="pvc"/>
    <m/>
    <x v="0"/>
  </r>
  <r>
    <n v="49"/>
    <n v="49"/>
    <s v="kancelář"/>
    <s v="Kancelář"/>
    <x v="0"/>
    <n v="11.3"/>
    <s v="pvc"/>
    <m/>
    <x v="0"/>
  </r>
  <r>
    <n v="51"/>
    <n v="51"/>
    <s v="kancelář"/>
    <s v="Kancelář"/>
    <x v="0"/>
    <n v="11.2"/>
    <s v="pvc"/>
    <m/>
    <x v="0"/>
  </r>
  <r>
    <n v="53"/>
    <n v="53"/>
    <s v="kancelář"/>
    <s v="Kancelář"/>
    <x v="0"/>
    <n v="10.8"/>
    <s v="pvc"/>
    <m/>
    <x v="0"/>
  </r>
  <r>
    <n v="54"/>
    <m/>
    <s v="vrátnice"/>
    <s v="Kancelář"/>
    <x v="0"/>
    <n v="23.7"/>
    <s v="keramická dl."/>
    <m/>
    <x v="1"/>
  </r>
  <r>
    <n v="55"/>
    <m/>
    <s v="wc"/>
    <s v=" Sociální zařízení "/>
    <x v="4"/>
    <n v="8.9"/>
    <s v="keramická dl."/>
    <m/>
    <x v="1"/>
  </r>
  <r>
    <n v="56"/>
    <m/>
    <s v="wc"/>
    <s v=" Sociální zařízení "/>
    <x v="4"/>
    <n v="8.8000000000000007"/>
    <s v="keramická dl."/>
    <m/>
    <x v="1"/>
  </r>
  <r>
    <n v="57"/>
    <m/>
    <s v="větrací šachta"/>
    <s v="Chodby, schodiště a ostatní"/>
    <x v="3"/>
    <n v="1.6"/>
    <m/>
    <m/>
    <x v="2"/>
  </r>
  <r>
    <n v="58"/>
    <m/>
    <s v="wc"/>
    <s v=" Sociální zařízení "/>
    <x v="4"/>
    <n v="14.5"/>
    <s v="keramická dl."/>
    <m/>
    <x v="1"/>
  </r>
  <r>
    <n v="59"/>
    <m/>
    <s v="wc"/>
    <s v=" Sociální zařízení "/>
    <x v="4"/>
    <n v="14.7"/>
    <s v="keramická dl."/>
    <m/>
    <x v="1"/>
  </r>
  <r>
    <n v="60"/>
    <m/>
    <s v="větrací šachta"/>
    <s v="Chodby, schodiště a ostatní"/>
    <x v="3"/>
    <n v="1.5"/>
    <m/>
    <m/>
    <x v="2"/>
  </r>
  <r>
    <s v="AI."/>
    <s v="AI."/>
    <s v="posluchárna"/>
    <s v="Posluchárna"/>
    <x v="2"/>
    <n v="139.5"/>
    <s v="pvc"/>
    <m/>
    <x v="1"/>
  </r>
  <r>
    <s v="AII."/>
    <s v="AII."/>
    <s v="posluchárna"/>
    <s v="Posluchárna"/>
    <x v="2"/>
    <n v="139.5"/>
    <s v="pvc"/>
    <m/>
    <x v="1"/>
  </r>
  <r>
    <s v="AIII."/>
    <s v="AIII."/>
    <s v="posluchárna"/>
    <s v="Posluchárna"/>
    <x v="2"/>
    <n v="139.5"/>
    <s v="pvc"/>
    <m/>
    <x v="1"/>
  </r>
  <r>
    <s v="AIV."/>
    <s v="AIV."/>
    <s v="posluchárna"/>
    <s v="Posluchárna"/>
    <x v="2"/>
    <n v="139.5"/>
    <s v="pvc"/>
    <m/>
    <x v="1"/>
  </r>
  <r>
    <n v="65"/>
    <m/>
    <s v="rozvodna"/>
    <s v="Chodby, schodiště a ostatní"/>
    <x v="3"/>
    <n v="17.2"/>
    <s v="lité teraco (beton)"/>
    <m/>
    <x v="2"/>
  </r>
  <r>
    <n v="66"/>
    <m/>
    <s v="strojovna VZT"/>
    <s v="Chodby, schodiště a ostatní"/>
    <x v="3"/>
    <n v="30.8"/>
    <s v="beton"/>
    <m/>
    <x v="2"/>
  </r>
  <r>
    <n v="67"/>
    <m/>
    <s v="přívod vzduchu"/>
    <s v="Chodby, schodiště a ostatní"/>
    <x v="3"/>
    <n v="22.8"/>
    <s v="beton"/>
    <m/>
    <x v="2"/>
  </r>
  <r>
    <n v="68"/>
    <m/>
    <s v="trafostanice"/>
    <s v="Chodby, schodiště a ostatní"/>
    <x v="3"/>
    <n v="14.1"/>
    <m/>
    <m/>
    <x v="2"/>
  </r>
  <r>
    <n v="69"/>
    <m/>
    <s v="wc"/>
    <s v=" Sociální zařízení "/>
    <x v="4"/>
    <n v="20.399999999999999"/>
    <s v="keramická dl."/>
    <m/>
    <x v="1"/>
  </r>
  <r>
    <n v="70"/>
    <m/>
    <s v="strojovna VZT"/>
    <s v="Chodby, schodiště a ostatní"/>
    <x v="3"/>
    <n v="31"/>
    <s v="beton"/>
    <m/>
    <x v="2"/>
  </r>
  <r>
    <n v="71"/>
    <m/>
    <s v="přívod vzduchu"/>
    <s v="Chodby, schodiště a ostatní"/>
    <x v="3"/>
    <n v="22.8"/>
    <s v="beton"/>
    <m/>
    <x v="2"/>
  </r>
  <r>
    <n v="72"/>
    <m/>
    <s v="archiv"/>
    <s v="Kancelář"/>
    <x v="0"/>
    <n v="11.7"/>
    <m/>
    <m/>
    <x v="0"/>
  </r>
  <r>
    <n v="73"/>
    <m/>
    <s v="wc"/>
    <s v=" Sociální zařízení "/>
    <x v="4"/>
    <n v="20"/>
    <s v="keramická dl."/>
    <m/>
    <x v="1"/>
  </r>
  <r>
    <n v="74"/>
    <m/>
    <s v="strojovna VZT"/>
    <s v="Chodby, schodiště a ostatní"/>
    <x v="3"/>
    <n v="31"/>
    <s v="beton"/>
    <m/>
    <x v="1"/>
  </r>
  <r>
    <n v="75"/>
    <m/>
    <s v="přívod vzduchu"/>
    <s v="Chodby, schodiště a ostatní"/>
    <x v="3"/>
    <n v="22.8"/>
    <s v="beton"/>
    <m/>
    <x v="1"/>
  </r>
  <r>
    <n v="76"/>
    <m/>
    <s v="sklad"/>
    <s v="Laboratoře"/>
    <x v="1"/>
    <n v="11.8"/>
    <s v="keramická dl."/>
    <m/>
    <x v="0"/>
  </r>
  <r>
    <n v="77"/>
    <m/>
    <s v="wc invalid."/>
    <s v=" Sociální zařízení "/>
    <x v="4"/>
    <n v="3.7"/>
    <s v="keramická dl."/>
    <m/>
    <x v="1"/>
  </r>
  <r>
    <n v="78"/>
    <m/>
    <s v="wc"/>
    <s v=" Sociální zařízení "/>
    <x v="4"/>
    <n v="16.600000000000001"/>
    <s v="keramická dl."/>
    <m/>
    <x v="1"/>
  </r>
  <r>
    <n v="79"/>
    <m/>
    <s v="strojovna VZT"/>
    <s v="Chodby, schodiště a ostatní"/>
    <x v="3"/>
    <n v="30.8"/>
    <s v="beton"/>
    <m/>
    <x v="1"/>
  </r>
  <r>
    <n v="80"/>
    <m/>
    <s v="přívod vzduchu"/>
    <s v="Chodby, schodiště a ostatní"/>
    <x v="3"/>
    <n v="22.8"/>
    <s v="beton"/>
    <m/>
    <x v="2"/>
  </r>
  <r>
    <n v="81"/>
    <m/>
    <s v="sklad"/>
    <s v="Laboratoře"/>
    <x v="1"/>
    <n v="11.7"/>
    <s v="keramická dl."/>
    <m/>
    <x v="2"/>
  </r>
  <r>
    <n v="82"/>
    <s v="82"/>
    <s v="bufet"/>
    <s v="Laboratoře"/>
    <x v="1"/>
    <n v="66.900000000000006"/>
    <s v="keramická dl."/>
    <m/>
    <x v="1"/>
  </r>
  <r>
    <s v="82a"/>
    <m/>
    <s v="zimní zahrada"/>
    <s v="Laboratoře"/>
    <x v="1"/>
    <n v="51.6"/>
    <s v="keramická dl."/>
    <m/>
    <x v="1"/>
  </r>
  <r>
    <s v="82b"/>
    <m/>
    <s v="šatna bufetu"/>
    <s v="Laboratoře"/>
    <x v="1"/>
    <n v="1.2"/>
    <s v="keramická dl."/>
    <m/>
    <x v="1"/>
  </r>
  <r>
    <s v="A54"/>
    <s v="A54"/>
    <s v="server"/>
    <s v="Chodby, schodiště a ostatní"/>
    <x v="3"/>
    <n v="17.600000000000001"/>
    <s v="pvc"/>
    <m/>
    <x v="2"/>
  </r>
  <r>
    <s v="A55"/>
    <s v="A55"/>
    <s v="PC učebna"/>
    <s v="Posluchárna"/>
    <x v="2"/>
    <n v="68.900000000000006"/>
    <s v="pvc"/>
    <m/>
    <x v="1"/>
  </r>
  <r>
    <n v="85"/>
    <m/>
    <s v="zasedací místnost"/>
    <s v="Posluchárna"/>
    <x v="2"/>
    <n v="115.5"/>
    <s v="keramická dl., koberec"/>
    <m/>
    <x v="1"/>
  </r>
  <r>
    <n v="90"/>
    <m/>
    <s v="schodiště"/>
    <s v="Chodby, schodiště a ostatní"/>
    <x v="3"/>
    <n v="22.7"/>
    <s v="keramická dl."/>
    <m/>
    <x v="1"/>
  </r>
  <r>
    <n v="91"/>
    <m/>
    <s v="schodiště"/>
    <s v="Chodby, schodiště a ostatní"/>
    <x v="3"/>
    <n v="26.7"/>
    <s v="keramická dl."/>
    <m/>
    <x v="1"/>
  </r>
  <r>
    <n v="92"/>
    <m/>
    <s v="výtah"/>
    <s v="výtah"/>
    <x v="5"/>
    <n v="1.2"/>
    <m/>
    <m/>
    <x v="1"/>
  </r>
  <r>
    <n v="93"/>
    <m/>
    <s v="výtah"/>
    <s v="výtah"/>
    <x v="5"/>
    <n v="1.2"/>
    <m/>
    <m/>
    <x v="1"/>
  </r>
  <r>
    <n v="94"/>
    <m/>
    <s v="výtah"/>
    <s v="výtah"/>
    <x v="5"/>
    <n v="1.65"/>
    <m/>
    <m/>
    <x v="1"/>
  </r>
  <r>
    <s v="95a   "/>
    <m/>
    <s v="chodba"/>
    <s v="Chodby, schodiště a ostatní"/>
    <x v="3"/>
    <n v="64.5"/>
    <s v="keramická dl."/>
    <m/>
    <x v="1"/>
  </r>
  <r>
    <s v="95b   "/>
    <m/>
    <s v="chodba"/>
    <s v="Chodby, schodiště a ostatní"/>
    <x v="3"/>
    <n v="53.9"/>
    <s v="keramická dl."/>
    <m/>
    <x v="1"/>
  </r>
  <r>
    <s v="95c   "/>
    <m/>
    <s v="chodba"/>
    <s v="Chodby, schodiště a ostatní"/>
    <x v="3"/>
    <n v="113"/>
    <s v="keramická dl."/>
    <m/>
    <x v="1"/>
  </r>
  <r>
    <s v="95d   "/>
    <m/>
    <s v="chodba"/>
    <s v="Chodby, schodiště a ostatní"/>
    <x v="3"/>
    <n v="125.7"/>
    <s v="keramická dl."/>
    <m/>
    <x v="1"/>
  </r>
  <r>
    <s v="95e   "/>
    <m/>
    <s v="chodba"/>
    <s v="Chodby, schodiště a ostatní"/>
    <x v="3"/>
    <n v="56.2"/>
    <s v="keramická dl."/>
    <m/>
    <x v="1"/>
  </r>
  <r>
    <s v="95g   "/>
    <m/>
    <s v="chodba"/>
    <s v="Chodby, schodiště a ostatní"/>
    <x v="3"/>
    <n v="13.7"/>
    <s v="keramická dl."/>
    <m/>
    <x v="1"/>
  </r>
  <r>
    <s v="95h   "/>
    <m/>
    <s v="chodba"/>
    <s v="Chodby, schodiště a ostatní"/>
    <x v="3"/>
    <n v="50.8"/>
    <s v="keramická dl."/>
    <m/>
    <x v="1"/>
  </r>
  <r>
    <s v="95i   "/>
    <m/>
    <s v="chodba"/>
    <s v="Chodby, schodiště a ostatní"/>
    <x v="3"/>
    <n v="234.2"/>
    <s v="keramická dl."/>
    <m/>
    <x v="1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70">
  <r>
    <n v="200"/>
    <n v="200"/>
    <s v="kancelář"/>
    <s v="Kancelář"/>
    <x v="0"/>
    <n v="33.700000000000003"/>
    <s v="pvc"/>
    <m/>
    <x v="0"/>
  </r>
  <r>
    <n v="201"/>
    <n v="201"/>
    <s v="kancelář"/>
    <s v="Kancelář"/>
    <x v="0"/>
    <n v="20.5"/>
    <s v="koberec"/>
    <m/>
    <x v="0"/>
  </r>
  <r>
    <n v="202"/>
    <n v="202"/>
    <s v="kancelář"/>
    <s v="Kancelář"/>
    <x v="0"/>
    <n v="12.3"/>
    <s v="pvc"/>
    <m/>
    <x v="0"/>
  </r>
  <r>
    <s v="202a"/>
    <s v="202a"/>
    <s v="laboratoř"/>
    <s v="Laboratoře"/>
    <x v="1"/>
    <n v="13.96"/>
    <s v="pvc"/>
    <m/>
    <x v="1"/>
  </r>
  <r>
    <s v="202b"/>
    <m/>
    <s v="kuchyňka"/>
    <s v="Laboratoře"/>
    <x v="1"/>
    <n v="4.6399999999999997"/>
    <s v="pvc"/>
    <m/>
    <x v="0"/>
  </r>
  <r>
    <n v="203"/>
    <n v="203"/>
    <s v="kancelář"/>
    <s v="Kancelář"/>
    <x v="0"/>
    <n v="10.1"/>
    <s v="plovoucí podlaha"/>
    <m/>
    <x v="0"/>
  </r>
  <r>
    <n v="204"/>
    <n v="204"/>
    <s v="laboratoř"/>
    <s v="Laboratoře"/>
    <x v="1"/>
    <n v="31.7"/>
    <s v="pvc"/>
    <m/>
    <x v="1"/>
  </r>
  <r>
    <n v="205"/>
    <n v="205"/>
    <s v="kancelář"/>
    <s v="Kancelář"/>
    <x v="0"/>
    <n v="10.199999999999999"/>
    <s v="koberec"/>
    <m/>
    <x v="0"/>
  </r>
  <r>
    <n v="206"/>
    <n v="206"/>
    <s v="laboratoř"/>
    <s v="Laboratoře"/>
    <x v="1"/>
    <n v="31.6"/>
    <s v="pvc"/>
    <m/>
    <x v="1"/>
  </r>
  <r>
    <n v="207"/>
    <n v="207"/>
    <s v="kancelář"/>
    <s v="Kancelář"/>
    <x v="0"/>
    <n v="20.7"/>
    <s v="koberec"/>
    <m/>
    <x v="0"/>
  </r>
  <r>
    <n v="208"/>
    <n v="208"/>
    <s v="učebna"/>
    <s v="Posluchárna"/>
    <x v="2"/>
    <n v="53.4"/>
    <s v="pvc"/>
    <m/>
    <x v="1"/>
  </r>
  <r>
    <s v="208a   "/>
    <m/>
    <s v="laboratoř"/>
    <s v="Laboratoře"/>
    <x v="1"/>
    <n v="12.7"/>
    <s v="pvc"/>
    <m/>
    <x v="1"/>
  </r>
  <r>
    <n v="209"/>
    <n v="209"/>
    <s v="kancelář"/>
    <s v="Kancelář"/>
    <x v="0"/>
    <n v="10.199999999999999"/>
    <s v="koberec"/>
    <m/>
    <x v="1"/>
  </r>
  <r>
    <n v="210"/>
    <n v="210"/>
    <s v="kancelář"/>
    <s v="Kancelář"/>
    <x v="0"/>
    <n v="16.399999999999999"/>
    <s v="koberec"/>
    <m/>
    <x v="0"/>
  </r>
  <r>
    <n v="211"/>
    <n v="211"/>
    <s v="kancelář"/>
    <s v="Kancelář"/>
    <x v="0"/>
    <n v="10.199999999999999"/>
    <s v="pvc + koberec"/>
    <m/>
    <x v="0"/>
  </r>
  <r>
    <n v="212"/>
    <n v="212"/>
    <s v="kancelář"/>
    <s v="Kancelář"/>
    <x v="0"/>
    <n v="16.3"/>
    <s v="pvc"/>
    <m/>
    <x v="0"/>
  </r>
  <r>
    <n v="213"/>
    <n v="213"/>
    <s v="kancelář"/>
    <s v="Kancelář"/>
    <x v="0"/>
    <n v="10.7"/>
    <s v="koberec"/>
    <m/>
    <x v="0"/>
  </r>
  <r>
    <n v="214"/>
    <n v="214"/>
    <s v="kancelář"/>
    <s v="Kancelář"/>
    <x v="0"/>
    <n v="16.3"/>
    <s v="pvc"/>
    <m/>
    <x v="0"/>
  </r>
  <r>
    <n v="215"/>
    <n v="215"/>
    <s v="kancelář"/>
    <s v="Kancelář"/>
    <x v="0"/>
    <n v="11.1"/>
    <s v="koberec"/>
    <m/>
    <x v="0"/>
  </r>
  <r>
    <n v="216"/>
    <n v="216"/>
    <s v="kancelář"/>
    <s v="Kancelář"/>
    <x v="0"/>
    <n v="16.3"/>
    <s v="pvc"/>
    <m/>
    <x v="0"/>
  </r>
  <r>
    <s v="216a   "/>
    <s v="216a   "/>
    <s v="kancelář"/>
    <s v="Kancelář"/>
    <x v="0"/>
    <n v="17.36"/>
    <s v="pvc"/>
    <m/>
    <x v="0"/>
  </r>
  <r>
    <n v="217"/>
    <n v="217"/>
    <s v="laboratoř"/>
    <s v="Laboratoře"/>
    <x v="1"/>
    <n v="11"/>
    <s v="pvc"/>
    <m/>
    <x v="1"/>
  </r>
  <r>
    <n v="218"/>
    <n v="218"/>
    <s v="kancelář"/>
    <s v="Kancelář"/>
    <x v="0"/>
    <n v="47.84"/>
    <s v="pvc"/>
    <m/>
    <x v="0"/>
  </r>
  <r>
    <s v="218a   "/>
    <s v="218a   "/>
    <s v="PC rozvaděč"/>
    <s v="Chodby, schodiště a ostatní"/>
    <x v="3"/>
    <n v="0.8"/>
    <s v="pvc"/>
    <m/>
    <x v="2"/>
  </r>
  <r>
    <n v="219"/>
    <n v="219"/>
    <s v="kancelář"/>
    <s v="Kancelář"/>
    <x v="0"/>
    <n v="11.2"/>
    <s v="keram. dl."/>
    <m/>
    <x v="0"/>
  </r>
  <r>
    <n v="220"/>
    <n v="220"/>
    <s v="laboratoř"/>
    <s v="Laboratoře"/>
    <x v="1"/>
    <n v="71"/>
    <s v="pvc"/>
    <m/>
    <x v="1"/>
  </r>
  <r>
    <n v="221"/>
    <n v="221"/>
    <s v="laboratoř"/>
    <s v="Laboratoře"/>
    <x v="1"/>
    <n v="10.5"/>
    <s v="pvc"/>
    <m/>
    <x v="1"/>
  </r>
  <r>
    <n v="222"/>
    <n v="222"/>
    <s v="laboratoř"/>
    <s v="Laboratoře"/>
    <x v="1"/>
    <n v="16.600000000000001"/>
    <s v="pvc"/>
    <m/>
    <x v="1"/>
  </r>
  <r>
    <n v="223"/>
    <n v="223"/>
    <s v="kancelář"/>
    <s v="Kancelář"/>
    <x v="0"/>
    <n v="11.6"/>
    <s v="pvc"/>
    <m/>
    <x v="0"/>
  </r>
  <r>
    <n v="224"/>
    <n v="224"/>
    <s v="kancelář"/>
    <s v="Kancelář"/>
    <x v="0"/>
    <n v="16.399999999999999"/>
    <s v="pvc"/>
    <m/>
    <x v="0"/>
  </r>
  <r>
    <n v="225"/>
    <n v="225"/>
    <s v="kancelář"/>
    <s v="Kancelář"/>
    <x v="0"/>
    <n v="11.4"/>
    <s v="pvc"/>
    <m/>
    <x v="0"/>
  </r>
  <r>
    <s v="225a   "/>
    <s v="225a   "/>
    <s v="laboratoř"/>
    <s v="Laboratoře"/>
    <x v="1"/>
    <n v="10.199999999999999"/>
    <s v="pvc"/>
    <m/>
    <x v="1"/>
  </r>
  <r>
    <n v="226"/>
    <n v="226"/>
    <s v="laboratoř (cvičebna)"/>
    <s v="Posluchárna"/>
    <x v="2"/>
    <n v="65.599999999999994"/>
    <s v="pvc"/>
    <m/>
    <x v="1"/>
  </r>
  <r>
    <n v="227"/>
    <n v="227"/>
    <s v="laboratoř"/>
    <s v="Laboratoře"/>
    <x v="1"/>
    <n v="21.6"/>
    <s v="pvc"/>
    <m/>
    <x v="1"/>
  </r>
  <r>
    <n v="228"/>
    <n v="228"/>
    <s v="laboratoř"/>
    <s v="Laboratoře"/>
    <x v="1"/>
    <n v="17.600000000000001"/>
    <s v="pvc"/>
    <m/>
    <x v="1"/>
  </r>
  <r>
    <s v="228a   "/>
    <s v="228a   "/>
    <s v="termostat"/>
    <s v="Laboratoře"/>
    <x v="1"/>
    <n v="6"/>
    <s v="pvc"/>
    <m/>
    <x v="1"/>
  </r>
  <r>
    <s v="228b   "/>
    <s v="228b   "/>
    <s v="laboratoř"/>
    <s v="Laboratoře"/>
    <x v="1"/>
    <n v="4.4000000000000004"/>
    <s v="pvc"/>
    <m/>
    <x v="1"/>
  </r>
  <r>
    <s v="228c   "/>
    <s v="228c   "/>
    <s v="laboratoř"/>
    <s v="Laboratoře"/>
    <x v="1"/>
    <n v="4.5"/>
    <s v="pvc"/>
    <m/>
    <x v="1"/>
  </r>
  <r>
    <n v="229"/>
    <n v="229"/>
    <s v="kancelář"/>
    <s v="Kancelář"/>
    <x v="0"/>
    <n v="11.1"/>
    <s v="koberec"/>
    <m/>
    <x v="0"/>
  </r>
  <r>
    <n v="230"/>
    <n v="230"/>
    <s v="laboratoř"/>
    <s v="Laboratoře"/>
    <x v="1"/>
    <n v="33.9"/>
    <s v="pvc"/>
    <m/>
    <x v="1"/>
  </r>
  <r>
    <n v="231"/>
    <n v="231"/>
    <s v="umývárna lab. skla"/>
    <s v="Laboratoře"/>
    <x v="1"/>
    <n v="11.1"/>
    <s v="teraco"/>
    <m/>
    <x v="1"/>
  </r>
  <r>
    <n v="232"/>
    <n v="232"/>
    <s v="laboratoř"/>
    <s v="Laboratoře"/>
    <x v="1"/>
    <n v="30.8"/>
    <s v="pvc"/>
    <m/>
    <x v="1"/>
  </r>
  <r>
    <n v="233"/>
    <n v="233"/>
    <s v="cvičebna"/>
    <s v="Posluchárna"/>
    <x v="2"/>
    <n v="34.299999999999997"/>
    <s v="pvc"/>
    <m/>
    <x v="1"/>
  </r>
  <r>
    <n v="234"/>
    <n v="234"/>
    <s v="laboratoř"/>
    <s v="Laboratoře"/>
    <x v="1"/>
    <n v="14.8"/>
    <s v="pvc"/>
    <m/>
    <x v="1"/>
  </r>
  <r>
    <n v="235"/>
    <n v="235"/>
    <s v="kancelář"/>
    <s v="Kancelář"/>
    <x v="0"/>
    <n v="12.3"/>
    <s v="pvc"/>
    <m/>
    <x v="0"/>
  </r>
  <r>
    <n v="236"/>
    <n v="236"/>
    <s v="laboratoř"/>
    <s v="Laboratoře"/>
    <x v="1"/>
    <n v="16.8"/>
    <s v="pvc"/>
    <m/>
    <x v="1"/>
  </r>
  <r>
    <n v="237"/>
    <n v="237"/>
    <s v="seminární cvičebna"/>
    <s v="Posluchárna"/>
    <x v="2"/>
    <n v="47"/>
    <s v="pvc"/>
    <m/>
    <x v="1"/>
  </r>
  <r>
    <n v="238"/>
    <n v="238"/>
    <s v="laboratoř"/>
    <s v="Laboratoře"/>
    <x v="1"/>
    <n v="30.7"/>
    <s v="pvc"/>
    <m/>
    <x v="1"/>
  </r>
  <r>
    <n v="241"/>
    <n v="241"/>
    <s v="kancelář"/>
    <s v="Kancelář"/>
    <x v="0"/>
    <n v="21.7"/>
    <s v="koberec"/>
    <m/>
    <x v="0"/>
  </r>
  <r>
    <n v="243"/>
    <n v="243"/>
    <s v="kancelář"/>
    <s v="Kancelář"/>
    <x v="0"/>
    <n v="10.199999999999999"/>
    <s v="koberec"/>
    <m/>
    <x v="0"/>
  </r>
  <r>
    <n v="245"/>
    <n v="245"/>
    <s v="kancelář"/>
    <s v="Kancelář"/>
    <x v="0"/>
    <n v="10.199999999999999"/>
    <s v="koberec"/>
    <m/>
    <x v="0"/>
  </r>
  <r>
    <n v="247"/>
    <n v="247"/>
    <s v="kancelář"/>
    <s v="Kancelář"/>
    <x v="0"/>
    <n v="20.8"/>
    <s v="koberec"/>
    <m/>
    <x v="0"/>
  </r>
  <r>
    <n v="249"/>
    <n v="249"/>
    <s v="umývárna lab. skla"/>
    <s v="Laboratoře"/>
    <x v="1"/>
    <n v="11.2"/>
    <s v="teraco"/>
    <m/>
    <x v="1"/>
  </r>
  <r>
    <n v="251"/>
    <n v="251"/>
    <s v="kancelář"/>
    <s v="Kancelář"/>
    <x v="0"/>
    <n v="11"/>
    <s v="koberec"/>
    <m/>
    <x v="0"/>
  </r>
  <r>
    <n v="253"/>
    <n v="253"/>
    <s v="kancelář"/>
    <s v="Kancelář"/>
    <x v="0"/>
    <n v="20.6"/>
    <s v="pvc"/>
    <m/>
    <x v="0"/>
  </r>
  <r>
    <n v="254"/>
    <m/>
    <s v="wc"/>
    <s v=" Sociální zařízení "/>
    <x v="4"/>
    <n v="9.1"/>
    <s v="keram. dl."/>
    <m/>
    <x v="1"/>
  </r>
  <r>
    <n v="255"/>
    <m/>
    <s v="wc"/>
    <s v=" Sociální zařízení "/>
    <x v="4"/>
    <n v="9.1"/>
    <s v="keram. dl."/>
    <m/>
    <x v="1"/>
  </r>
  <r>
    <n v="256"/>
    <m/>
    <s v="wc"/>
    <s v=" Sociální zařízení "/>
    <x v="4"/>
    <n v="14.8"/>
    <s v="keram. dl."/>
    <m/>
    <x v="1"/>
  </r>
  <r>
    <n v="257"/>
    <m/>
    <s v="wc"/>
    <s v=" Sociální zařízení "/>
    <x v="4"/>
    <n v="14.9"/>
    <s v="keram. dl."/>
    <m/>
    <x v="1"/>
  </r>
  <r>
    <n v="290"/>
    <m/>
    <s v="schodiště"/>
    <s v="Chodby, schodiště a ostatní"/>
    <x v="3"/>
    <n v="22.7"/>
    <s v="keram. dl."/>
    <m/>
    <x v="1"/>
  </r>
  <r>
    <n v="291"/>
    <m/>
    <s v="schodiště"/>
    <s v="Chodby, schodiště a ostatní"/>
    <x v="3"/>
    <n v="25.7"/>
    <s v="keram. dl."/>
    <m/>
    <x v="1"/>
  </r>
  <r>
    <n v="292"/>
    <m/>
    <s v="výtah"/>
    <s v="výtah"/>
    <x v="5"/>
    <n v="1.2"/>
    <m/>
    <m/>
    <x v="1"/>
  </r>
  <r>
    <n v="293"/>
    <m/>
    <s v="výtah"/>
    <s v="výtah"/>
    <x v="5"/>
    <n v="1.2"/>
    <m/>
    <m/>
    <x v="1"/>
  </r>
  <r>
    <n v="294"/>
    <m/>
    <s v="výtah"/>
    <s v="výtah"/>
    <x v="5"/>
    <n v="1.65"/>
    <m/>
    <m/>
    <x v="1"/>
  </r>
  <r>
    <s v="295a   "/>
    <m/>
    <s v="chodba"/>
    <s v="Chodby, schodiště a ostatní"/>
    <x v="3"/>
    <n v="71.2"/>
    <s v="keram. dl."/>
    <m/>
    <x v="1"/>
  </r>
  <r>
    <s v="295c   "/>
    <m/>
    <s v="chodba"/>
    <s v="Chodby, schodiště a ostatní"/>
    <x v="3"/>
    <n v="52.8"/>
    <s v="keram. dl."/>
    <m/>
    <x v="1"/>
  </r>
  <r>
    <s v="295d   "/>
    <m/>
    <s v="chodba"/>
    <s v="Chodby, schodiště a ostatní"/>
    <x v="3"/>
    <n v="114.8"/>
    <s v="keram. dl."/>
    <m/>
    <x v="1"/>
  </r>
  <r>
    <s v="295e   "/>
    <m/>
    <s v="chodba"/>
    <s v="Chodby, schodiště a ostatní"/>
    <x v="3"/>
    <n v="69.400000000000006"/>
    <s v="keram. dl."/>
    <m/>
    <x v="1"/>
  </r>
  <r>
    <s v="295f   "/>
    <m/>
    <s v="chodba"/>
    <s v="Chodby, schodiště a ostatní"/>
    <x v="3"/>
    <n v="24.3"/>
    <s v="keram. dl."/>
    <m/>
    <x v="1"/>
  </r>
  <r>
    <s v="295g   "/>
    <m/>
    <s v="chodba"/>
    <s v="Chodby, schodiště a ostatní"/>
    <x v="3"/>
    <n v="71.5"/>
    <s v="keram. dl."/>
    <m/>
    <x v="1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71">
  <r>
    <n v="301"/>
    <n v="301"/>
    <s v="kancelář"/>
    <s v="Kancelář"/>
    <x v="0"/>
    <n v="20.5"/>
    <s v="plovoucí podlaha"/>
    <m/>
    <x v="0"/>
  </r>
  <r>
    <n v="302"/>
    <n v="302"/>
    <s v="laboratoř"/>
    <s v="Laboratoře"/>
    <x v="1"/>
    <n v="33.5"/>
    <s v="pvc"/>
    <m/>
    <x v="1"/>
  </r>
  <r>
    <n v="303"/>
    <n v="303"/>
    <s v="kancelář"/>
    <s v="Kancelář"/>
    <x v="0"/>
    <n v="10"/>
    <s v="pvc"/>
    <m/>
    <x v="0"/>
  </r>
  <r>
    <n v="304"/>
    <n v="304"/>
    <s v="laboratoř"/>
    <s v="Laboratoře"/>
    <x v="1"/>
    <n v="31.7"/>
    <s v="pvc"/>
    <m/>
    <x v="1"/>
  </r>
  <r>
    <n v="305"/>
    <n v="305"/>
    <s v="desifenkce potravin"/>
    <s v="Laboratoře"/>
    <x v="1"/>
    <n v="10.1"/>
    <s v="pvc"/>
    <m/>
    <x v="1"/>
  </r>
  <r>
    <n v="306"/>
    <n v="306"/>
    <s v="laboratoř"/>
    <s v="Laboratoře"/>
    <x v="1"/>
    <n v="31"/>
    <s v="pvc"/>
    <m/>
    <x v="1"/>
  </r>
  <r>
    <n v="307"/>
    <n v="307"/>
    <s v="kancelář"/>
    <s v="Kancelář"/>
    <x v="0"/>
    <n v="19.5"/>
    <s v="plovoucí podlaha"/>
    <m/>
    <x v="0"/>
  </r>
  <r>
    <n v="308"/>
    <n v="308"/>
    <s v="laboratoř"/>
    <s v="Laboratoře"/>
    <x v="1"/>
    <n v="31.8"/>
    <s v="pvc"/>
    <m/>
    <x v="1"/>
  </r>
  <r>
    <n v="309"/>
    <n v="309"/>
    <s v="kancelář"/>
    <s v="Kancelář"/>
    <x v="0"/>
    <n v="10.199999999999999"/>
    <s v="pvc"/>
    <m/>
    <x v="0"/>
  </r>
  <r>
    <n v="310"/>
    <n v="310"/>
    <s v="cvičebna"/>
    <s v="Posluchárna"/>
    <x v="2"/>
    <n v="67.900000000000006"/>
    <s v="pvc"/>
    <m/>
    <x v="1"/>
  </r>
  <r>
    <n v="311"/>
    <n v="311"/>
    <s v="kancelář"/>
    <s v="Kancelář"/>
    <x v="0"/>
    <n v="10.1"/>
    <s v="pvc"/>
    <m/>
    <x v="0"/>
  </r>
  <r>
    <n v="312"/>
    <n v="312"/>
    <s v="kancelář"/>
    <s v="Kancelář"/>
    <x v="0"/>
    <n v="16.2"/>
    <s v="pvc"/>
    <m/>
    <x v="0"/>
  </r>
  <r>
    <n v="313"/>
    <n v="313"/>
    <s v="přípravna materiálu"/>
    <s v="Laboratoře"/>
    <x v="1"/>
    <n v="10.7"/>
    <s v="teraco"/>
    <m/>
    <x v="1"/>
  </r>
  <r>
    <n v="314"/>
    <n v="314"/>
    <s v="kancelář"/>
    <s v="Kancelář"/>
    <x v="0"/>
    <n v="16.399999999999999"/>
    <s v="pvc"/>
    <m/>
    <x v="0"/>
  </r>
  <r>
    <n v="315"/>
    <n v="315"/>
    <s v="chladící box"/>
    <s v="Laboratoře"/>
    <x v="1"/>
    <n v="11.2"/>
    <s v="pvc"/>
    <m/>
    <x v="1"/>
  </r>
  <r>
    <n v="316"/>
    <n v="316"/>
    <s v="knihovna"/>
    <s v="Kancelář"/>
    <x v="0"/>
    <n v="16.399999999999999"/>
    <s v="pvc"/>
    <m/>
    <x v="0"/>
  </r>
  <r>
    <n v="317"/>
    <n v="317"/>
    <s v="kancelář"/>
    <s v="Kancelář"/>
    <x v="0"/>
    <n v="11"/>
    <s v="pvc"/>
    <m/>
    <x v="0"/>
  </r>
  <r>
    <n v="318"/>
    <n v="318"/>
    <s v="kancelář"/>
    <s v="Kancelář"/>
    <x v="0"/>
    <n v="16.399999999999999"/>
    <s v="pvc"/>
    <m/>
    <x v="0"/>
  </r>
  <r>
    <n v="319"/>
    <n v="319"/>
    <s v="kancelář"/>
    <s v="Kancelář"/>
    <x v="0"/>
    <n v="11.2"/>
    <s v="pvc"/>
    <m/>
    <x v="0"/>
  </r>
  <r>
    <n v="320"/>
    <n v="320"/>
    <s v="cvičebna"/>
    <s v="Posluchárna"/>
    <x v="2"/>
    <n v="67.8"/>
    <s v="pvc"/>
    <m/>
    <x v="1"/>
  </r>
  <r>
    <n v="321"/>
    <n v="321"/>
    <s v="laboratoř"/>
    <s v="Laboratoře"/>
    <x v="1"/>
    <n v="22"/>
    <s v="pvc"/>
    <m/>
    <x v="1"/>
  </r>
  <r>
    <s v="321a"/>
    <m/>
    <s v="serverovna"/>
    <s v="Chodby, schodiště a ostatní"/>
    <x v="3"/>
    <n v="0.9"/>
    <s v="pvc"/>
    <m/>
    <x v="2"/>
  </r>
  <r>
    <n v="322"/>
    <n v="322"/>
    <s v="cvičebna"/>
    <s v="Posluchárna"/>
    <x v="2"/>
    <n v="65.099999999999994"/>
    <s v="pvc"/>
    <m/>
    <x v="1"/>
  </r>
  <r>
    <n v="323"/>
    <n v="323"/>
    <s v="kancelář"/>
    <s v="Kancelář"/>
    <x v="0"/>
    <n v="11.2"/>
    <s v="pvc"/>
    <m/>
    <x v="0"/>
  </r>
  <r>
    <n v="324"/>
    <n v="324"/>
    <s v="přípravna"/>
    <s v="Laboratoře"/>
    <x v="1"/>
    <n v="16.399999999999999"/>
    <s v="keramická dl."/>
    <m/>
    <x v="1"/>
  </r>
  <r>
    <n v="325"/>
    <n v="325"/>
    <s v="kancelář"/>
    <s v="Kancelář"/>
    <x v="0"/>
    <n v="11.2"/>
    <s v="teraco"/>
    <m/>
    <x v="0"/>
  </r>
  <r>
    <n v="326"/>
    <n v="326"/>
    <s v="laboratoř"/>
    <s v="Laboratoře"/>
    <x v="1"/>
    <n v="16.3"/>
    <s v="keramická dl."/>
    <m/>
    <x v="1"/>
  </r>
  <r>
    <n v="327"/>
    <n v="327"/>
    <s v="kancelář"/>
    <s v="Kancelář"/>
    <x v="0"/>
    <n v="22.5"/>
    <s v="pvc"/>
    <m/>
    <x v="0"/>
  </r>
  <r>
    <n v="328"/>
    <n v="328"/>
    <s v="laboratoř"/>
    <s v="Laboratoře"/>
    <x v="1"/>
    <n v="67.099999999999994"/>
    <s v="pvc"/>
    <m/>
    <x v="1"/>
  </r>
  <r>
    <n v="329"/>
    <n v="329"/>
    <s v="laboratoř"/>
    <s v="Laboratoře"/>
    <x v="1"/>
    <n v="11"/>
    <s v="teraco"/>
    <m/>
    <x v="1"/>
  </r>
  <r>
    <n v="330"/>
    <n v="330"/>
    <s v="kancelář"/>
    <s v="Kancelář"/>
    <x v="0"/>
    <n v="16.899999999999999"/>
    <s v="pvc"/>
    <m/>
    <x v="0"/>
  </r>
  <r>
    <n v="331"/>
    <n v="331"/>
    <s v="spalovna"/>
    <s v="Laboratoře"/>
    <x v="1"/>
    <n v="11.1"/>
    <s v="keramická dl."/>
    <m/>
    <x v="1"/>
  </r>
  <r>
    <n v="332"/>
    <n v="332"/>
    <s v="kancelář"/>
    <s v="Kancelář"/>
    <x v="0"/>
    <n v="17.100000000000001"/>
    <s v="pvc"/>
    <m/>
    <x v="0"/>
  </r>
  <r>
    <n v="333"/>
    <n v="333"/>
    <s v="laboratoř"/>
    <s v="Laboratoře"/>
    <x v="1"/>
    <n v="10.8"/>
    <s v="pvc"/>
    <m/>
    <x v="1"/>
  </r>
  <r>
    <n v="334"/>
    <n v="334"/>
    <s v="předsíň"/>
    <s v="Laboratoře"/>
    <x v="1"/>
    <n v="3.2"/>
    <s v="pvc"/>
    <m/>
    <x v="1"/>
  </r>
  <r>
    <s v="334a   "/>
    <s v="334a   "/>
    <s v="laboratoř"/>
    <s v="Laboratoře"/>
    <x v="1"/>
    <n v="13.4"/>
    <s v="pvc"/>
    <m/>
    <x v="1"/>
  </r>
  <r>
    <s v="334b   "/>
    <s v="334b   "/>
    <s v="laboratoř"/>
    <s v="Laboratoře"/>
    <x v="1"/>
    <n v="13.8"/>
    <s v="pvc"/>
    <m/>
    <x v="1"/>
  </r>
  <r>
    <n v="335"/>
    <n v="335"/>
    <s v="kancelář"/>
    <s v="Kancelář"/>
    <x v="0"/>
    <n v="11"/>
    <s v="pvc"/>
    <m/>
    <x v="0"/>
  </r>
  <r>
    <n v="336"/>
    <n v="336"/>
    <s v="laboratoř"/>
    <s v="Laboratoře"/>
    <x v="1"/>
    <n v="16.399999999999999"/>
    <s v="pvc"/>
    <m/>
    <x v="1"/>
  </r>
  <r>
    <s v="336a   "/>
    <s v="336a   "/>
    <s v="laboratoř"/>
    <s v="Laboratoře"/>
    <x v="1"/>
    <n v="14.3"/>
    <s v="pvc"/>
    <m/>
    <x v="1"/>
  </r>
  <r>
    <n v="337"/>
    <n v="337"/>
    <s v="kancelář"/>
    <s v="Kancelář"/>
    <x v="0"/>
    <n v="11"/>
    <s v="pvc"/>
    <m/>
    <x v="0"/>
  </r>
  <r>
    <n v="338"/>
    <n v="338"/>
    <s v="předsíň"/>
    <s v="Laboratoře"/>
    <x v="1"/>
    <n v="3.2"/>
    <s v="pvc"/>
    <m/>
    <x v="1"/>
  </r>
  <r>
    <s v="338a   "/>
    <s v="338a   "/>
    <s v="laboratoř"/>
    <s v="Laboratoře"/>
    <x v="1"/>
    <n v="13.5"/>
    <s v="pvc"/>
    <m/>
    <x v="1"/>
  </r>
  <r>
    <s v="338b   "/>
    <s v="338b   "/>
    <s v="laboratoř"/>
    <s v="Laboratoře"/>
    <x v="1"/>
    <n v="13.7"/>
    <s v="pvc"/>
    <m/>
    <x v="1"/>
  </r>
  <r>
    <n v="339"/>
    <n v="339"/>
    <s v="kancelář"/>
    <s v="Kancelář"/>
    <x v="0"/>
    <n v="11.4"/>
    <s v="pvc"/>
    <m/>
    <x v="0"/>
  </r>
  <r>
    <s v="339a   "/>
    <s v="339a   "/>
    <s v="PC rozvaděč"/>
    <s v="Chodby, schodiště a ostatní"/>
    <x v="3"/>
    <n v="0.7"/>
    <s v="pvc"/>
    <m/>
    <x v="2"/>
  </r>
  <r>
    <n v="340"/>
    <n v="340"/>
    <s v="laboratoř"/>
    <s v="Laboratoře"/>
    <x v="1"/>
    <n v="32.200000000000003"/>
    <s v="pvc"/>
    <m/>
    <x v="1"/>
  </r>
  <r>
    <n v="341"/>
    <n v="341"/>
    <s v="počítač. učebna"/>
    <s v="Posluchárna"/>
    <x v="2"/>
    <n v="46.95"/>
    <s v="pvc"/>
    <m/>
    <x v="1"/>
  </r>
  <r>
    <n v="345"/>
    <n v="345"/>
    <s v="zasedací místnost"/>
    <s v="Posluchárna"/>
    <x v="2"/>
    <n v="21.7"/>
    <s v="pvc"/>
    <m/>
    <x v="1"/>
  </r>
  <r>
    <n v="347"/>
    <n v="347"/>
    <s v="kancelář"/>
    <s v="Kancelář"/>
    <x v="0"/>
    <n v="10.199999999999999"/>
    <s v="pvc"/>
    <m/>
    <x v="0"/>
  </r>
  <r>
    <n v="349"/>
    <n v="349"/>
    <s v="kancelář"/>
    <s v="Kancelář"/>
    <x v="0"/>
    <n v="10.199999999999999"/>
    <s v="plovoucí podlaha"/>
    <m/>
    <x v="0"/>
  </r>
  <r>
    <n v="351"/>
    <n v="351"/>
    <s v="kancelář"/>
    <s v="Kancelář"/>
    <x v="0"/>
    <n v="10.199999999999999"/>
    <s v="plovoucí podlaha"/>
    <m/>
    <x v="0"/>
  </r>
  <r>
    <n v="353"/>
    <n v="353"/>
    <s v="kancelář"/>
    <s v="Kancelář"/>
    <x v="0"/>
    <n v="10.6"/>
    <s v="pvc"/>
    <m/>
    <x v="0"/>
  </r>
  <r>
    <n v="355"/>
    <n v="355"/>
    <s v="umývárna lab. skla"/>
    <s v="Laboratoře"/>
    <x v="1"/>
    <n v="11.2"/>
    <s v="teraco"/>
    <m/>
    <x v="1"/>
  </r>
  <r>
    <n v="357"/>
    <n v="357"/>
    <s v="kancelář"/>
    <s v="Kancelář"/>
    <x v="0"/>
    <n v="10"/>
    <s v="plovoucí podlaha"/>
    <m/>
    <x v="0"/>
  </r>
  <r>
    <n v="359"/>
    <n v="359"/>
    <s v="knihovna"/>
    <s v="Kancelář"/>
    <x v="0"/>
    <n v="20.6"/>
    <s v="pvc"/>
    <m/>
    <x v="0"/>
  </r>
  <r>
    <n v="360"/>
    <m/>
    <s v="wc"/>
    <s v=" Sociální zařízení "/>
    <x v="4"/>
    <n v="9.1999999999999993"/>
    <s v="keramická dl."/>
    <m/>
    <x v="1"/>
  </r>
  <r>
    <n v="361"/>
    <m/>
    <s v="wc"/>
    <s v=" Sociální zařízení "/>
    <x v="4"/>
    <n v="9"/>
    <s v="keramická dl."/>
    <m/>
    <x v="1"/>
  </r>
  <r>
    <n v="362"/>
    <m/>
    <s v="wc"/>
    <s v=" Sociální zařízení "/>
    <x v="4"/>
    <n v="14.6"/>
    <s v="keramická dl."/>
    <m/>
    <x v="1"/>
  </r>
  <r>
    <n v="363"/>
    <m/>
    <s v="wc"/>
    <s v=" Sociální zařízení "/>
    <x v="4"/>
    <n v="14.9"/>
    <s v="keramická dl."/>
    <m/>
    <x v="1"/>
  </r>
  <r>
    <n v="390"/>
    <m/>
    <s v="schodiště"/>
    <s v="Chodby, schodiště a ostatní"/>
    <x v="3"/>
    <n v="22.7"/>
    <s v="keramická dl."/>
    <m/>
    <x v="1"/>
  </r>
  <r>
    <n v="391"/>
    <m/>
    <s v="schodiště"/>
    <s v="Chodby, schodiště a ostatní"/>
    <x v="3"/>
    <n v="25.7"/>
    <s v="keramická dl."/>
    <m/>
    <x v="1"/>
  </r>
  <r>
    <n v="392"/>
    <m/>
    <s v="výtah"/>
    <s v="výtah"/>
    <x v="5"/>
    <n v="1.2"/>
    <m/>
    <m/>
    <x v="1"/>
  </r>
  <r>
    <n v="393"/>
    <m/>
    <s v="výtah"/>
    <s v="výtah"/>
    <x v="5"/>
    <n v="1.2"/>
    <m/>
    <m/>
    <x v="1"/>
  </r>
  <r>
    <n v="394"/>
    <m/>
    <s v="výtah"/>
    <s v="výtah"/>
    <x v="5"/>
    <n v="1.65"/>
    <m/>
    <m/>
    <x v="1"/>
  </r>
  <r>
    <s v="395a   "/>
    <m/>
    <s v="chodba"/>
    <s v="Chodby, schodiště a ostatní"/>
    <x v="3"/>
    <n v="71.2"/>
    <s v="keramická dl."/>
    <m/>
    <x v="1"/>
  </r>
  <r>
    <s v="395b   "/>
    <m/>
    <s v="chodba"/>
    <s v="Chodby, schodiště a ostatní"/>
    <x v="3"/>
    <n v="52.8"/>
    <s v="keramická dl., plovoucí podl."/>
    <m/>
    <x v="1"/>
  </r>
  <r>
    <s v="395c   "/>
    <m/>
    <s v="chodba"/>
    <s v="Chodby, schodiště a ostatní"/>
    <x v="3"/>
    <n v="114.8"/>
    <s v="keramická dl."/>
    <m/>
    <x v="1"/>
  </r>
  <r>
    <s v="395d   "/>
    <m/>
    <s v="chodba"/>
    <s v="Chodby, schodiště a ostatní"/>
    <x v="3"/>
    <n v="69.400000000000006"/>
    <s v="keramická dl."/>
    <m/>
    <x v="1"/>
  </r>
  <r>
    <s v="395e   "/>
    <m/>
    <s v="chodba"/>
    <s v="Chodby, schodiště a ostatní"/>
    <x v="3"/>
    <n v="24.3"/>
    <s v="keramická dl."/>
    <m/>
    <x v="1"/>
  </r>
  <r>
    <s v="395f   "/>
    <m/>
    <s v="chodba"/>
    <s v="Chodby, schodiště a ostatní"/>
    <x v="3"/>
    <n v="64"/>
    <s v="keramická dl."/>
    <m/>
    <x v="1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65">
  <r>
    <n v="401"/>
    <n v="401"/>
    <s v="kancelář"/>
    <s v="Kancelář"/>
    <x v="0"/>
    <n v="10.85"/>
    <s v="koberec"/>
    <m/>
    <x v="0"/>
  </r>
  <r>
    <s v="401a  "/>
    <s v="401a   "/>
    <s v="knihovna"/>
    <s v="Kancelář"/>
    <x v="0"/>
    <n v="10.23"/>
    <s v="koberec"/>
    <m/>
    <x v="1"/>
  </r>
  <r>
    <n v="402"/>
    <n v="402"/>
    <s v="laboratoř"/>
    <s v="Laboratoře"/>
    <x v="1"/>
    <n v="10.1"/>
    <s v="pvc"/>
    <m/>
    <x v="1"/>
  </r>
  <r>
    <s v="402a   "/>
    <s v="402a   "/>
    <s v="laboratoř"/>
    <s v="Laboratoře"/>
    <x v="1"/>
    <n v="5.7"/>
    <s v="teraco"/>
    <m/>
    <x v="1"/>
  </r>
  <r>
    <s v="402b   "/>
    <s v="402b   "/>
    <s v="laboratoř"/>
    <s v="Laboratoře"/>
    <x v="1"/>
    <n v="17"/>
    <s v="teraco"/>
    <m/>
    <x v="1"/>
  </r>
  <r>
    <s v="402c   "/>
    <s v="402c   "/>
    <s v="laboratoř"/>
    <s v="Laboratoře"/>
    <x v="1"/>
    <n v="13.5"/>
    <s v="pvc"/>
    <m/>
    <x v="1"/>
  </r>
  <r>
    <n v="403"/>
    <n v="403"/>
    <s v="kancelář"/>
    <s v="Kancelář"/>
    <x v="0"/>
    <n v="10.199999999999999"/>
    <s v="koberec"/>
    <m/>
    <x v="0"/>
  </r>
  <r>
    <n v="404"/>
    <n v="404"/>
    <s v="laboratoř"/>
    <s v="Laboratoře"/>
    <x v="1"/>
    <n v="17.100000000000001"/>
    <s v="koberec"/>
    <m/>
    <x v="1"/>
  </r>
  <r>
    <n v="405"/>
    <n v="405"/>
    <s v="kancelář"/>
    <s v="Kancelář"/>
    <x v="0"/>
    <n v="10.1"/>
    <s v="koberec"/>
    <m/>
    <x v="0"/>
  </r>
  <r>
    <s v="406a"/>
    <s v="406a"/>
    <s v="laboratoř"/>
    <s v="Laboratoře"/>
    <x v="1"/>
    <n v="15.24"/>
    <s v="pvc"/>
    <m/>
    <x v="1"/>
  </r>
  <r>
    <s v="406b   "/>
    <s v="406b   "/>
    <s v="laboratoř"/>
    <s v="Laboratoře"/>
    <x v="1"/>
    <n v="16.3"/>
    <s v="pvc"/>
    <m/>
    <x v="1"/>
  </r>
  <r>
    <n v="407"/>
    <n v="407"/>
    <s v="kancelář"/>
    <s v="Kancelář"/>
    <x v="0"/>
    <n v="20.9"/>
    <s v="koberec"/>
    <m/>
    <x v="0"/>
  </r>
  <r>
    <n v="408"/>
    <n v="408"/>
    <s v="laboratoř"/>
    <s v="Laboratoře"/>
    <x v="1"/>
    <n v="31.9"/>
    <s v="pvc"/>
    <m/>
    <x v="1"/>
  </r>
  <r>
    <n v="409"/>
    <n v="409"/>
    <s v="kancelář"/>
    <s v="Kancelář"/>
    <x v="0"/>
    <n v="10.1"/>
    <s v="koberec"/>
    <m/>
    <x v="0"/>
  </r>
  <r>
    <n v="410"/>
    <n v="410"/>
    <s v="laboratoř posluchačů"/>
    <s v="Laboratoře"/>
    <x v="1"/>
    <n v="67.400000000000006"/>
    <s v="pvc"/>
    <m/>
    <x v="1"/>
  </r>
  <r>
    <n v="411"/>
    <n v="411"/>
    <s v="kancelář"/>
    <s v="Kancelář"/>
    <x v="0"/>
    <n v="10.1"/>
    <s v="koberec"/>
    <m/>
    <x v="0"/>
  </r>
  <r>
    <n v="412"/>
    <n v="412"/>
    <s v="laboratoř"/>
    <s v="Laboratoře"/>
    <x v="1"/>
    <n v="16.3"/>
    <s v="pvc"/>
    <m/>
    <x v="1"/>
  </r>
  <r>
    <n v="413"/>
    <n v="413"/>
    <s v="knihovna"/>
    <s v="Kancelář"/>
    <x v="0"/>
    <n v="10.6"/>
    <s v="koberec"/>
    <m/>
    <x v="0"/>
  </r>
  <r>
    <n v="414"/>
    <n v="414"/>
    <s v="kancelář"/>
    <s v="Kancelář"/>
    <x v="0"/>
    <n v="16.2"/>
    <s v="pvc"/>
    <m/>
    <x v="0"/>
  </r>
  <r>
    <n v="415"/>
    <n v="415"/>
    <s v="chladící box"/>
    <s v="Chodby, schodiště a ostatní"/>
    <x v="2"/>
    <n v="6.1"/>
    <s v="teraco"/>
    <m/>
    <x v="1"/>
  </r>
  <r>
    <s v="415a   "/>
    <s v="415a   "/>
    <s v="chladící box"/>
    <s v="Chodby, schodiště a ostatní"/>
    <x v="2"/>
    <n v="3.1"/>
    <s v="teraco"/>
    <m/>
    <x v="1"/>
  </r>
  <r>
    <n v="416"/>
    <n v="416"/>
    <s v="cvičebna"/>
    <s v="Posluchárna"/>
    <x v="3"/>
    <n v="68.5"/>
    <s v="pvc"/>
    <m/>
    <x v="1"/>
  </r>
  <r>
    <s v="417a   "/>
    <s v="417a   "/>
    <s v="kancelář"/>
    <s v="Kancelář"/>
    <x v="0"/>
    <n v="11"/>
    <s v="plovoucí podlaha"/>
    <m/>
    <x v="0"/>
  </r>
  <r>
    <s v="417b   "/>
    <s v="417b   "/>
    <s v="kancelář"/>
    <s v="Kancelář"/>
    <x v="0"/>
    <n v="11.6"/>
    <s v="plovoucí podlaha"/>
    <m/>
    <x v="0"/>
  </r>
  <r>
    <n v="418"/>
    <n v="418"/>
    <s v="lab. cvičebna"/>
    <s v="Posluchárna"/>
    <x v="3"/>
    <n v="65.5"/>
    <s v="pvc"/>
    <m/>
    <x v="1"/>
  </r>
  <r>
    <n v="419"/>
    <n v="419"/>
    <s v="laboratoř"/>
    <s v="Laboratoře"/>
    <x v="1"/>
    <n v="19.399999999999999"/>
    <s v="pvc"/>
    <m/>
    <x v="1"/>
  </r>
  <r>
    <s v="419a"/>
    <m/>
    <s v="serverovna"/>
    <s v="Kancelář"/>
    <x v="0"/>
    <n v="3.5"/>
    <s v="pvc"/>
    <m/>
    <x v="2"/>
  </r>
  <r>
    <n v="420"/>
    <n v="420"/>
    <s v="lab. cvičebna"/>
    <s v="Posluchárna"/>
    <x v="3"/>
    <n v="64.7"/>
    <s v="pvc"/>
    <m/>
    <x v="1"/>
  </r>
  <r>
    <n v="422"/>
    <n v="422"/>
    <s v="lab. cvičebna"/>
    <s v="Posluchárna"/>
    <x v="3"/>
    <n v="65.900000000000006"/>
    <s v="pvc"/>
    <m/>
    <x v="1"/>
  </r>
  <r>
    <n v="423"/>
    <n v="423"/>
    <s v="laboratoř"/>
    <s v="Laboratoře"/>
    <x v="1"/>
    <n v="22.4"/>
    <s v="pvc"/>
    <m/>
    <x v="1"/>
  </r>
  <r>
    <n v="424"/>
    <n v="424"/>
    <s v="laboratoř"/>
    <s v="Laboratoře"/>
    <x v="1"/>
    <n v="34"/>
    <s v="pvc"/>
    <m/>
    <x v="1"/>
  </r>
  <r>
    <n v="425"/>
    <n v="425"/>
    <s v="umývárna lab. skla"/>
    <s v="Laboratoře"/>
    <x v="1"/>
    <n v="20.8"/>
    <s v="lité teraco"/>
    <m/>
    <x v="1"/>
  </r>
  <r>
    <n v="426"/>
    <n v="426"/>
    <s v="laboratoř"/>
    <s v="Laboratoře"/>
    <x v="1"/>
    <n v="31.8"/>
    <s v="pvc"/>
    <m/>
    <x v="1"/>
  </r>
  <r>
    <n v="427"/>
    <n v="427"/>
    <s v="laboratoř"/>
    <s v="Laboratoře"/>
    <x v="1"/>
    <n v="21.3"/>
    <s v="pvc"/>
    <m/>
    <x v="1"/>
  </r>
  <r>
    <n v="428"/>
    <n v="428"/>
    <s v="laboratoř"/>
    <s v="Laboratoře"/>
    <x v="1"/>
    <n v="30.9"/>
    <s v="pvc"/>
    <m/>
    <x v="1"/>
  </r>
  <r>
    <n v="429"/>
    <n v="429"/>
    <s v="laboratoř"/>
    <s v="Laboratoře"/>
    <x v="1"/>
    <n v="11"/>
    <s v="pvc"/>
    <m/>
    <x v="1"/>
  </r>
  <r>
    <n v="430"/>
    <n v="430"/>
    <s v="laboratoř"/>
    <s v="Laboratoře"/>
    <x v="1"/>
    <n v="16.399999999999999"/>
    <s v="pvc"/>
    <m/>
    <x v="1"/>
  </r>
  <r>
    <s v="430a   "/>
    <n v="430"/>
    <s v="laboratoř"/>
    <s v="Laboratoře"/>
    <x v="1"/>
    <n v="14.1"/>
    <s v="pvc"/>
    <m/>
    <x v="1"/>
  </r>
  <r>
    <n v="431"/>
    <s v="431"/>
    <s v="učebna"/>
    <s v="Posluchárna"/>
    <x v="3"/>
    <n v="34.5"/>
    <s v="pvc"/>
    <m/>
    <x v="1"/>
  </r>
  <r>
    <n v="432"/>
    <n v="432"/>
    <s v="předsíň"/>
    <s v="Laboratoře"/>
    <x v="1"/>
    <n v="3.5"/>
    <s v="pvc"/>
    <m/>
    <x v="1"/>
  </r>
  <r>
    <s v="432a   "/>
    <n v="432"/>
    <s v="laboratoř"/>
    <s v="Laboratoře"/>
    <x v="1"/>
    <n v="13"/>
    <s v="pvc"/>
    <m/>
    <x v="1"/>
  </r>
  <r>
    <s v="432b   "/>
    <n v="432"/>
    <s v="laboratoř"/>
    <s v="Laboratoře"/>
    <x v="1"/>
    <n v="14.8"/>
    <s v="pvc"/>
    <m/>
    <x v="1"/>
  </r>
  <r>
    <n v="435"/>
    <n v="435"/>
    <s v="učebna"/>
    <s v="Posluchárna"/>
    <x v="3"/>
    <n v="46.8"/>
    <s v="pvc"/>
    <m/>
    <x v="1"/>
  </r>
  <r>
    <n v="437"/>
    <n v="437"/>
    <s v="kancelář"/>
    <s v="Kancelář"/>
    <x v="0"/>
    <n v="21.7"/>
    <s v="koberec"/>
    <m/>
    <x v="0"/>
  </r>
  <r>
    <n v="439"/>
    <n v="439"/>
    <s v="kancelář"/>
    <s v="Kancelář"/>
    <x v="0"/>
    <n v="10.199999999999999"/>
    <s v="pvc"/>
    <m/>
    <x v="0"/>
  </r>
  <r>
    <n v="441"/>
    <n v="441"/>
    <s v="kancelář"/>
    <s v="Kancelář"/>
    <x v="0"/>
    <n v="10.199999999999999"/>
    <s v="pvc"/>
    <m/>
    <x v="0"/>
  </r>
  <r>
    <n v="443"/>
    <n v="443"/>
    <s v="kancelář"/>
    <s v="Kancelář"/>
    <x v="0"/>
    <n v="20.9"/>
    <s v="koberec"/>
    <m/>
    <x v="0"/>
  </r>
  <r>
    <n v="445"/>
    <n v="445"/>
    <s v="laboratoř"/>
    <s v="Laboratoře"/>
    <x v="1"/>
    <n v="10.7"/>
    <s v="pvc + teraco"/>
    <m/>
    <x v="1"/>
  </r>
  <r>
    <n v="447"/>
    <n v="447"/>
    <s v="kancelář"/>
    <s v="Kancelář"/>
    <x v="0"/>
    <n v="10.1"/>
    <s v="pvc"/>
    <m/>
    <x v="0"/>
  </r>
  <r>
    <n v="449"/>
    <n v="449"/>
    <s v="knihovna"/>
    <s v="Kancelář"/>
    <x v="0"/>
    <n v="20.6"/>
    <s v="pvc"/>
    <m/>
    <x v="0"/>
  </r>
  <r>
    <n v="450"/>
    <m/>
    <s v="wc"/>
    <s v=" Sociální zařízení "/>
    <x v="4"/>
    <n v="9.1"/>
    <s v="keram.dl."/>
    <m/>
    <x v="1"/>
  </r>
  <r>
    <n v="451"/>
    <m/>
    <s v="wc"/>
    <s v=" Sociální zařízení "/>
    <x v="4"/>
    <n v="9"/>
    <s v="keram.dl."/>
    <m/>
    <x v="1"/>
  </r>
  <r>
    <n v="452"/>
    <m/>
    <s v="wc"/>
    <s v=" Sociální zařízení "/>
    <x v="4"/>
    <n v="14.8"/>
    <s v="keram.dl."/>
    <m/>
    <x v="1"/>
  </r>
  <r>
    <n v="453"/>
    <m/>
    <s v="wc"/>
    <s v=" Sociální zařízení "/>
    <x v="4"/>
    <n v="14.9"/>
    <s v="keram.dl."/>
    <m/>
    <x v="1"/>
  </r>
  <r>
    <n v="490"/>
    <m/>
    <s v="schodiště"/>
    <s v="Chodby, schodiště a ostatní"/>
    <x v="2"/>
    <n v="22.7"/>
    <s v="keram.dl."/>
    <m/>
    <x v="1"/>
  </r>
  <r>
    <n v="491"/>
    <m/>
    <s v="schodiště"/>
    <s v="Chodby, schodiště a ostatní"/>
    <x v="2"/>
    <n v="25.7"/>
    <s v="keram.dl."/>
    <m/>
    <x v="1"/>
  </r>
  <r>
    <n v="492"/>
    <m/>
    <s v="výtah"/>
    <s v="výtah"/>
    <x v="5"/>
    <n v="1.2"/>
    <m/>
    <m/>
    <x v="1"/>
  </r>
  <r>
    <n v="493"/>
    <m/>
    <s v="výtah"/>
    <s v="výtah"/>
    <x v="5"/>
    <n v="1.2"/>
    <m/>
    <m/>
    <x v="1"/>
  </r>
  <r>
    <n v="494"/>
    <m/>
    <s v="výtah"/>
    <s v="výtah"/>
    <x v="5"/>
    <n v="1.65"/>
    <m/>
    <m/>
    <x v="1"/>
  </r>
  <r>
    <s v="495a   "/>
    <m/>
    <s v="chodba"/>
    <s v="Chodby, schodiště a ostatní"/>
    <x v="2"/>
    <n v="71.2"/>
    <s v="keram.dl."/>
    <m/>
    <x v="1"/>
  </r>
  <r>
    <s v="495b   "/>
    <m/>
    <s v="chodba"/>
    <s v="Chodby, schodiště a ostatní"/>
    <x v="2"/>
    <n v="52.8"/>
    <s v="keram.dl."/>
    <m/>
    <x v="1"/>
  </r>
  <r>
    <s v="495c   "/>
    <m/>
    <s v="chodba"/>
    <s v="Chodby, schodiště a ostatní"/>
    <x v="2"/>
    <n v="114.8"/>
    <s v="keram.dl."/>
    <m/>
    <x v="1"/>
  </r>
  <r>
    <s v="495d   "/>
    <m/>
    <s v="chodba"/>
    <s v="Chodby, schodiště a ostatní"/>
    <x v="2"/>
    <n v="69.400000000000006"/>
    <s v="keram.dl."/>
    <m/>
    <x v="1"/>
  </r>
  <r>
    <s v="495e   "/>
    <m/>
    <s v="chodba"/>
    <s v="Chodby, schodiště a ostatní"/>
    <x v="2"/>
    <n v="24.3"/>
    <s v="keram.dl."/>
    <m/>
    <x v="1"/>
  </r>
  <r>
    <s v="495f   "/>
    <m/>
    <s v="chodba"/>
    <s v="Chodby, schodiště a ostatní"/>
    <x v="2"/>
    <n v="64.099999999999994"/>
    <s v="keram.dl."/>
    <m/>
    <x v="1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37">
  <r>
    <s v="1NP-01"/>
    <s v="01"/>
    <x v="0"/>
    <n v="4.2"/>
    <n v="2.58"/>
    <s v="keram.dl."/>
    <m/>
    <m/>
    <x v="0"/>
  </r>
  <r>
    <s v="1NP-02"/>
    <s v="02"/>
    <x v="0"/>
    <n v="11.9"/>
    <n v="2.52"/>
    <s v="keram.dl."/>
    <m/>
    <m/>
    <x v="0"/>
  </r>
  <r>
    <s v="1NP-03"/>
    <s v="03"/>
    <x v="0"/>
    <n v="18.600000000000001"/>
    <n v="2.5299999999999998"/>
    <s v="keram.dl."/>
    <s v="obkl. 1,17"/>
    <m/>
    <x v="0"/>
  </r>
  <r>
    <s v="1NP-04"/>
    <s v="04"/>
    <x v="1"/>
    <n v="22.1"/>
    <n v="2.9"/>
    <s v="pvc"/>
    <m/>
    <m/>
    <x v="0"/>
  </r>
  <r>
    <s v="1NP-05"/>
    <s v="05"/>
    <x v="2"/>
    <n v="22.7"/>
    <n v="2.91"/>
    <s v="keram.dl."/>
    <s v="obkl.1,25"/>
    <m/>
    <x v="0"/>
  </r>
  <r>
    <s v="1NP-06"/>
    <s v="06"/>
    <x v="2"/>
    <n v="22.7"/>
    <n v="2.91"/>
    <s v="keram.dl."/>
    <s v="obkl.1,25"/>
    <m/>
    <x v="0"/>
  </r>
  <r>
    <s v="1NP-07"/>
    <s v="07"/>
    <x v="3"/>
    <n v="21.2"/>
    <n v="2.91"/>
    <s v="keram.dl."/>
    <s v="obkl.1,25"/>
    <m/>
    <x v="0"/>
  </r>
  <r>
    <s v="1NP-08"/>
    <s v="08"/>
    <x v="4"/>
    <n v="9.5"/>
    <n v="2.89"/>
    <s v="keram.dl."/>
    <s v="obkl.2,10"/>
    <m/>
    <x v="0"/>
  </r>
  <r>
    <s v="1NP-09"/>
    <s v="09"/>
    <x v="3"/>
    <n v="11.3"/>
    <n v="2.89"/>
    <s v="keram.dl."/>
    <s v="obkl.2,10"/>
    <m/>
    <x v="0"/>
  </r>
  <r>
    <s v="1NP-10"/>
    <n v="10"/>
    <x v="5"/>
    <n v="22.6"/>
    <n v="2.89"/>
    <s v="keram.dl."/>
    <s v="obkl.2,10"/>
    <m/>
    <x v="0"/>
  </r>
  <r>
    <s v="1NP-11"/>
    <n v="11"/>
    <x v="6"/>
    <n v="23"/>
    <n v="2.89"/>
    <s v="keram.dl."/>
    <s v="obkl.2,10"/>
    <m/>
    <x v="0"/>
  </r>
  <r>
    <s v="1NP-13"/>
    <n v="13"/>
    <x v="7"/>
    <n v="3"/>
    <n v="2.9"/>
    <s v="keram.dl."/>
    <s v="obkl.2,10"/>
    <m/>
    <x v="0"/>
  </r>
  <r>
    <s v="1NP-14"/>
    <n v="14"/>
    <x v="7"/>
    <n v="3"/>
    <n v="2.9"/>
    <s v="keram.dl."/>
    <s v="obkl.2,10"/>
    <m/>
    <x v="0"/>
  </r>
  <r>
    <s v="1NP-15"/>
    <n v="15"/>
    <x v="6"/>
    <n v="6.7"/>
    <n v="2.85"/>
    <s v="keram.dl."/>
    <s v="obkl.2,10"/>
    <m/>
    <x v="0"/>
  </r>
  <r>
    <s v="1NP-16"/>
    <n v="16"/>
    <x v="8"/>
    <n v="4.4000000000000004"/>
    <n v="2.85"/>
    <s v="keram.dl."/>
    <s v="obkl.2,10"/>
    <m/>
    <x v="0"/>
  </r>
  <r>
    <s v="1NP-18"/>
    <n v="18"/>
    <x v="0"/>
    <n v="11.9"/>
    <n v="2.89"/>
    <s v="keram.dl."/>
    <s v="obkl.2,10"/>
    <m/>
    <x v="0"/>
  </r>
  <r>
    <s v="1NP-19"/>
    <n v="19"/>
    <x v="0"/>
    <n v="7.5"/>
    <n v="2.89"/>
    <s v="keram.dl."/>
    <s v="obkl.2,10"/>
    <m/>
    <x v="0"/>
  </r>
  <r>
    <s v="1NP-20A"/>
    <s v="20a"/>
    <x v="9"/>
    <n v="7.6"/>
    <n v="2.89"/>
    <s v="asfalt"/>
    <m/>
    <m/>
    <x v="1"/>
  </r>
  <r>
    <s v="1NP-20B"/>
    <s v="20b"/>
    <x v="9"/>
    <n v="4"/>
    <n v="2.89"/>
    <s v="asfalt"/>
    <m/>
    <m/>
    <x v="1"/>
  </r>
  <r>
    <s v="1NP-21A"/>
    <s v="21a"/>
    <x v="9"/>
    <n v="7.6"/>
    <n v="2.89"/>
    <s v="asfalt"/>
    <m/>
    <m/>
    <x v="1"/>
  </r>
  <r>
    <s v="1NP-21B"/>
    <s v="21b"/>
    <x v="9"/>
    <n v="4"/>
    <n v="2.89"/>
    <s v="asfalt"/>
    <m/>
    <m/>
    <x v="1"/>
  </r>
  <r>
    <s v="1NP-22A"/>
    <s v="22a"/>
    <x v="9"/>
    <n v="7.6"/>
    <n v="2.89"/>
    <s v="asfalt"/>
    <m/>
    <m/>
    <x v="1"/>
  </r>
  <r>
    <s v="1NP-22B"/>
    <s v="22b"/>
    <x v="9"/>
    <n v="4"/>
    <n v="2.89"/>
    <s v="asfalt"/>
    <m/>
    <m/>
    <x v="1"/>
  </r>
  <r>
    <s v="1NP-23A"/>
    <s v="23a"/>
    <x v="9"/>
    <n v="7.6"/>
    <n v="2.89"/>
    <s v="asfalt"/>
    <m/>
    <m/>
    <x v="1"/>
  </r>
  <r>
    <s v="1NP-23B"/>
    <s v="23b"/>
    <x v="9"/>
    <n v="4"/>
    <n v="2.89"/>
    <s v="asfalt"/>
    <m/>
    <m/>
    <x v="1"/>
  </r>
  <r>
    <s v="1NP-24A"/>
    <s v="24a"/>
    <x v="9"/>
    <n v="7.6"/>
    <n v="2.89"/>
    <s v="asfalt"/>
    <m/>
    <m/>
    <x v="1"/>
  </r>
  <r>
    <s v="1NP-24B"/>
    <s v="24b"/>
    <x v="9"/>
    <n v="4"/>
    <n v="2.89"/>
    <s v="asfalt"/>
    <m/>
    <m/>
    <x v="1"/>
  </r>
  <r>
    <s v="1NP-25A"/>
    <s v="25a"/>
    <x v="9"/>
    <n v="7.6"/>
    <n v="2.89"/>
    <s v="asfalt"/>
    <m/>
    <m/>
    <x v="1"/>
  </r>
  <r>
    <s v="1NP-25B"/>
    <s v="25b"/>
    <x v="9"/>
    <n v="3.7"/>
    <n v="2.89"/>
    <s v="asfalt"/>
    <m/>
    <m/>
    <x v="1"/>
  </r>
  <r>
    <s v="1NP-26A"/>
    <s v="26a"/>
    <x v="9"/>
    <n v="7.7"/>
    <n v="2.89"/>
    <s v="asfalt"/>
    <m/>
    <m/>
    <x v="1"/>
  </r>
  <r>
    <s v="1NP-26B"/>
    <s v="26b"/>
    <x v="9"/>
    <n v="3.8"/>
    <n v="2.89"/>
    <s v="asfalt"/>
    <m/>
    <m/>
    <x v="1"/>
  </r>
  <r>
    <s v="1NP-27A"/>
    <s v="27a"/>
    <x v="9"/>
    <n v="7.6"/>
    <n v="2.89"/>
    <s v="asfalt"/>
    <m/>
    <m/>
    <x v="1"/>
  </r>
  <r>
    <s v="1NP-27B"/>
    <s v="27b"/>
    <x v="9"/>
    <n v="3.7"/>
    <n v="2.89"/>
    <s v="asfalt"/>
    <m/>
    <m/>
    <x v="1"/>
  </r>
  <r>
    <s v="1NP-28A"/>
    <s v="28a"/>
    <x v="9"/>
    <n v="7.8"/>
    <n v="2.89"/>
    <s v="asfalt"/>
    <m/>
    <m/>
    <x v="1"/>
  </r>
  <r>
    <s v="1NP-28B"/>
    <s v="28b"/>
    <x v="9"/>
    <n v="3.9"/>
    <n v="2.89"/>
    <s v="asfalt"/>
    <m/>
    <m/>
    <x v="1"/>
  </r>
  <r>
    <s v="1NP-29A"/>
    <s v="29a"/>
    <x v="9"/>
    <n v="7.6"/>
    <n v="2.89"/>
    <s v="asfalt"/>
    <m/>
    <m/>
    <x v="1"/>
  </r>
  <r>
    <s v="1NP-29B"/>
    <s v="29b"/>
    <x v="9"/>
    <n v="3.7"/>
    <n v="2.89"/>
    <s v="asfalt"/>
    <m/>
    <m/>
    <x v="1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5">
  <r>
    <x v="0"/>
    <n v="0"/>
    <x v="0"/>
  </r>
  <r>
    <x v="1"/>
    <n v="232.16"/>
    <x v="0"/>
  </r>
  <r>
    <x v="2"/>
    <n v="0"/>
    <x v="0"/>
  </r>
  <r>
    <x v="3"/>
    <n v="321.93"/>
    <x v="0"/>
  </r>
  <r>
    <x v="4"/>
    <n v="27.35"/>
    <x v="0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69">
  <r>
    <s v="103a"/>
    <s v="103a   "/>
    <s v="předsíň"/>
    <s v="Kancelář"/>
    <x v="0"/>
    <n v="4.2"/>
    <s v="koberec"/>
    <m/>
    <x v="0"/>
  </r>
  <r>
    <n v="103"/>
    <n v="103"/>
    <s v="kancelář"/>
    <s v="Kancelář"/>
    <x v="0"/>
    <n v="22.5"/>
    <s v="koberec"/>
    <m/>
    <x v="0"/>
  </r>
  <r>
    <s v="103c   "/>
    <m/>
    <s v="kancelář"/>
    <s v="Kancelář"/>
    <x v="0"/>
    <n v="48.8"/>
    <s v="koberec"/>
    <m/>
    <x v="0"/>
  </r>
  <r>
    <s v="103b   "/>
    <m/>
    <s v="kuchyňka"/>
    <s v="Kancelář"/>
    <x v="0"/>
    <n v="9.4"/>
    <s v="pvc"/>
    <m/>
    <x v="0"/>
  </r>
  <r>
    <n v="104"/>
    <n v="104"/>
    <s v="laboratoř"/>
    <s v="Laboratoře"/>
    <x v="0"/>
    <n v="31"/>
    <s v="pvc"/>
    <m/>
    <x v="0"/>
  </r>
  <r>
    <n v="105"/>
    <n v="105"/>
    <s v="kancelář"/>
    <s v="Kancelář"/>
    <x v="0"/>
    <n v="12.4"/>
    <s v="koberec"/>
    <m/>
    <x v="0"/>
  </r>
  <r>
    <n v="106"/>
    <n v="106"/>
    <s v="laboratoř"/>
    <s v="Laboratoře"/>
    <x v="0"/>
    <n v="30.9"/>
    <s v="pvc"/>
    <m/>
    <x v="0"/>
  </r>
  <r>
    <n v="107"/>
    <n v="107"/>
    <s v="kancelář"/>
    <s v="Kancelář"/>
    <x v="0"/>
    <n v="21.8"/>
    <s v="koberec"/>
    <m/>
    <x v="0"/>
  </r>
  <r>
    <n v="108"/>
    <s v="108, 108a"/>
    <s v="cvičebna"/>
    <s v="Archiv"/>
    <x v="1"/>
    <n v="65.5"/>
    <s v="pvc"/>
    <m/>
    <x v="1"/>
  </r>
  <r>
    <n v="110"/>
    <n v="110"/>
    <s v="laboratoř"/>
    <s v="Laboratoře"/>
    <x v="2"/>
    <n v="17.5"/>
    <s v="pvc"/>
    <m/>
    <x v="2"/>
  </r>
  <r>
    <n v="111"/>
    <n v="111"/>
    <s v="kancelář"/>
    <s v="Kancelář"/>
    <x v="0"/>
    <n v="11.1"/>
    <s v="pvc"/>
    <m/>
    <x v="0"/>
  </r>
  <r>
    <n v="112"/>
    <n v="112"/>
    <s v="kancelář"/>
    <s v="Kancelář"/>
    <x v="0"/>
    <n v="16.2"/>
    <s v="pvc"/>
    <m/>
    <x v="0"/>
  </r>
  <r>
    <n v="113"/>
    <n v="113"/>
    <s v="kancelář"/>
    <s v="Kancelář"/>
    <x v="0"/>
    <n v="11.2"/>
    <s v="koberec"/>
    <m/>
    <x v="0"/>
  </r>
  <r>
    <s v="114 "/>
    <s v="114  "/>
    <s v="kancelář"/>
    <s v="Kancelář"/>
    <x v="0"/>
    <n v="17.100000000000001"/>
    <s v="pvc"/>
    <m/>
    <x v="0"/>
  </r>
  <r>
    <s v="114a   "/>
    <s v="114a  "/>
    <s v="kancelář"/>
    <s v="Kancelář"/>
    <x v="0"/>
    <n v="16.399999999999999"/>
    <s v="pvc"/>
    <m/>
    <x v="0"/>
  </r>
  <r>
    <n v="115"/>
    <n v="115"/>
    <s v="kancelář"/>
    <s v="Kancelář"/>
    <x v="0"/>
    <n v="22.4"/>
    <s v="pvc"/>
    <m/>
    <x v="0"/>
  </r>
  <r>
    <n v="116"/>
    <n v="116"/>
    <s v="kancelář"/>
    <s v="Kancelář"/>
    <x v="0"/>
    <n v="17.3"/>
    <s v="pvc"/>
    <m/>
    <x v="0"/>
  </r>
  <r>
    <n v="117"/>
    <n v="117"/>
    <s v="kancelář"/>
    <s v="Kancelář"/>
    <x v="0"/>
    <n v="11.1"/>
    <s v="pvc"/>
    <m/>
    <x v="0"/>
  </r>
  <r>
    <n v="118"/>
    <n v="118"/>
    <s v="kancelář"/>
    <s v="Kancelář"/>
    <x v="0"/>
    <n v="16.399999999999999"/>
    <s v="koberec"/>
    <m/>
    <x v="0"/>
  </r>
  <r>
    <n v="119"/>
    <n v="119"/>
    <s v="kancelář"/>
    <s v="Kancelář"/>
    <x v="0"/>
    <n v="11.1"/>
    <s v="pvc"/>
    <m/>
    <x v="0"/>
  </r>
  <r>
    <n v="120"/>
    <n v="120"/>
    <s v="kancelář"/>
    <s v="Kancelář"/>
    <x v="0"/>
    <n v="16.3"/>
    <s v="pvc"/>
    <m/>
    <x v="0"/>
  </r>
  <r>
    <n v="121"/>
    <n v="121"/>
    <s v="kancelář"/>
    <s v="Kancelář"/>
    <x v="0"/>
    <n v="12.1"/>
    <s v="pvc"/>
    <m/>
    <x v="0"/>
  </r>
  <r>
    <s v="121a   "/>
    <s v="121a   "/>
    <s v="kancelář"/>
    <s v="Kancelář"/>
    <x v="0"/>
    <n v="11.1"/>
    <s v="pvc"/>
    <m/>
    <x v="0"/>
  </r>
  <r>
    <n v="122"/>
    <n v="122"/>
    <s v="laboratoř"/>
    <s v="Laboratoře"/>
    <x v="2"/>
    <n v="16.2"/>
    <s v="pvc"/>
    <m/>
    <x v="2"/>
  </r>
  <r>
    <n v="123"/>
    <n v="123"/>
    <s v="kancelář"/>
    <s v="Kancelář"/>
    <x v="0"/>
    <n v="11.2"/>
    <s v="pvc"/>
    <m/>
    <x v="0"/>
  </r>
  <r>
    <n v="124"/>
    <n v="124"/>
    <s v="laboratoř"/>
    <s v="Laboratoře"/>
    <x v="2"/>
    <n v="29.7"/>
    <s v="pvc"/>
    <m/>
    <x v="2"/>
  </r>
  <r>
    <s v="124a"/>
    <m/>
    <s v="serverovna"/>
    <s v="Chodby, schodiště a ostatní"/>
    <x v="3"/>
    <n v="2.6"/>
    <s v="keram.dl."/>
    <m/>
    <x v="0"/>
  </r>
  <r>
    <n v="125"/>
    <n v="125"/>
    <s v="kancelář"/>
    <s v="Kancelář"/>
    <x v="0"/>
    <n v="11.1"/>
    <s v="pvc"/>
    <m/>
    <x v="0"/>
  </r>
  <r>
    <n v="126"/>
    <n v="126"/>
    <s v="cvičebna"/>
    <s v="Posluchárna"/>
    <x v="4"/>
    <n v="66.900000000000006"/>
    <s v="pvc"/>
    <m/>
    <x v="2"/>
  </r>
  <r>
    <n v="127"/>
    <n v="127"/>
    <s v="kancelář"/>
    <s v="Kancelář"/>
    <x v="0"/>
    <n v="11"/>
    <s v="pvc"/>
    <m/>
    <x v="0"/>
  </r>
  <r>
    <s v="127a   "/>
    <s v="127a   "/>
    <s v="kancelář"/>
    <s v="Kancelář"/>
    <x v="0"/>
    <n v="11.2"/>
    <s v="pvc"/>
    <m/>
    <x v="0"/>
  </r>
  <r>
    <n v="128"/>
    <n v="128"/>
    <s v="přípravna"/>
    <s v="Laboratoře"/>
    <x v="2"/>
    <n v="16.2"/>
    <s v="pvc"/>
    <m/>
    <x v="2"/>
  </r>
  <r>
    <n v="129"/>
    <n v="129"/>
    <s v="archiv"/>
    <s v="Kancelář"/>
    <x v="0"/>
    <n v="22.8"/>
    <s v="pvc"/>
    <m/>
    <x v="0"/>
  </r>
  <r>
    <n v="130"/>
    <n v="130"/>
    <s v="váhovna"/>
    <s v="Laboratoře"/>
    <x v="2"/>
    <n v="16.3"/>
    <s v="pvc"/>
    <m/>
    <x v="2"/>
  </r>
  <r>
    <n v="131"/>
    <n v="131"/>
    <s v="umývárna lab. skla"/>
    <s v="Laboratoře"/>
    <x v="2"/>
    <n v="11"/>
    <s v="teraco"/>
    <m/>
    <x v="2"/>
  </r>
  <r>
    <n v="132"/>
    <n v="132"/>
    <s v="cvičebna"/>
    <s v="Posluchárna"/>
    <x v="4"/>
    <n v="65.3"/>
    <s v="pvc"/>
    <m/>
    <x v="2"/>
  </r>
  <r>
    <n v="133"/>
    <n v="133"/>
    <s v="kancelář"/>
    <s v="Kancelář"/>
    <x v="0"/>
    <n v="11.1"/>
    <s v="pvc"/>
    <m/>
    <x v="0"/>
  </r>
  <r>
    <n v="134"/>
    <m/>
    <s v="kancelář"/>
    <s v="Kancelář"/>
    <x v="0"/>
    <n v="16.7"/>
    <s v="pvc"/>
    <m/>
    <x v="0"/>
  </r>
  <r>
    <n v="135"/>
    <n v="135"/>
    <s v="kancelář"/>
    <s v="Kancelář"/>
    <x v="0"/>
    <n v="23.4"/>
    <s v="pvc"/>
    <m/>
    <x v="0"/>
  </r>
  <r>
    <n v="136"/>
    <n v="136"/>
    <s v="kancelář"/>
    <s v="Kancelář"/>
    <x v="0"/>
    <n v="17.100000000000001"/>
    <s v="pvc"/>
    <m/>
    <x v="0"/>
  </r>
  <r>
    <n v="137"/>
    <n v="137"/>
    <s v="učebna"/>
    <s v="Posluchárna"/>
    <x v="4"/>
    <n v="45.8"/>
    <s v="pvc"/>
    <m/>
    <x v="2"/>
  </r>
  <r>
    <n v="138"/>
    <n v="138"/>
    <s v="laboratoř"/>
    <s v="Laboratoře"/>
    <x v="2"/>
    <n v="15"/>
    <s v="pvc"/>
    <m/>
    <x v="2"/>
  </r>
  <r>
    <n v="140"/>
    <n v="140"/>
    <s v="kancelář"/>
    <s v="Kancelář"/>
    <x v="0"/>
    <n v="15.9"/>
    <s v="pvc"/>
    <m/>
    <x v="0"/>
  </r>
  <r>
    <n v="142"/>
    <n v="142"/>
    <s v="laboratoř"/>
    <s v="Laboratoře"/>
    <x v="2"/>
    <n v="31.8"/>
    <s v="pvc"/>
    <m/>
    <x v="2"/>
  </r>
  <r>
    <n v="143"/>
    <n v="143"/>
    <s v="kancelář"/>
    <s v="Kancelář"/>
    <x v="0"/>
    <n v="21.8"/>
    <s v="koberec"/>
    <m/>
    <x v="0"/>
  </r>
  <r>
    <n v="144"/>
    <n v="144"/>
    <s v="laboratoř"/>
    <s v="Laboratoře"/>
    <x v="2"/>
    <n v="15.8"/>
    <s v="pvc"/>
    <m/>
    <x v="2"/>
  </r>
  <r>
    <s v="144a   "/>
    <m/>
    <s v="laboratoř"/>
    <s v="Laboratoře"/>
    <x v="2"/>
    <n v="14.8"/>
    <s v="pvc"/>
    <m/>
    <x v="2"/>
  </r>
  <r>
    <n v="145"/>
    <n v="145"/>
    <s v="kancelář"/>
    <s v="Kancelář"/>
    <x v="0"/>
    <n v="10.199999999999999"/>
    <s v="koberec"/>
    <m/>
    <x v="0"/>
  </r>
  <r>
    <n v="146"/>
    <n v="146"/>
    <s v="laboratoř"/>
    <s v="Laboratoře"/>
    <x v="2"/>
    <n v="28.6"/>
    <s v="pvc"/>
    <m/>
    <x v="2"/>
  </r>
  <r>
    <n v="147"/>
    <n v="147"/>
    <s v="kancelář"/>
    <s v="Kancelář"/>
    <x v="0"/>
    <n v="10.1"/>
    <s v="pvc"/>
    <m/>
    <x v="0"/>
  </r>
  <r>
    <n v="149"/>
    <n v="149"/>
    <s v="kancelář"/>
    <s v="Kancelář"/>
    <x v="0"/>
    <n v="20.9"/>
    <s v="pvc"/>
    <m/>
    <x v="0"/>
  </r>
  <r>
    <n v="151"/>
    <n v="151"/>
    <s v="kancelář"/>
    <s v="Kancelář"/>
    <x v="0"/>
    <n v="10"/>
    <s v="pvc"/>
    <m/>
    <x v="0"/>
  </r>
  <r>
    <n v="153"/>
    <n v="153"/>
    <s v="kancelář"/>
    <s v="Kancelář"/>
    <x v="0"/>
    <n v="10.1"/>
    <s v="pvc"/>
    <m/>
    <x v="0"/>
  </r>
  <r>
    <n v="155"/>
    <n v="155"/>
    <s v="kancelář"/>
    <s v="Kancelář"/>
    <x v="0"/>
    <n v="20.5"/>
    <s v="koberec"/>
    <m/>
    <x v="0"/>
  </r>
  <r>
    <n v="156"/>
    <m/>
    <s v="wc"/>
    <s v=" Sociální zařízení "/>
    <x v="5"/>
    <n v="9"/>
    <s v="keram.dl."/>
    <m/>
    <x v="2"/>
  </r>
  <r>
    <n v="157"/>
    <m/>
    <s v="wc"/>
    <s v=" Sociální zařízení "/>
    <x v="5"/>
    <n v="8.9"/>
    <s v="keram.dl."/>
    <m/>
    <x v="2"/>
  </r>
  <r>
    <n v="158"/>
    <m/>
    <s v="wc"/>
    <s v=" Sociální zařízení "/>
    <x v="5"/>
    <n v="14.8"/>
    <s v="keram.dl."/>
    <m/>
    <x v="2"/>
  </r>
  <r>
    <n v="159"/>
    <m/>
    <s v="wc"/>
    <s v=" Sociální zařízení "/>
    <x v="5"/>
    <n v="14.9"/>
    <s v="keram.dl."/>
    <m/>
    <x v="2"/>
  </r>
  <r>
    <n v="190"/>
    <m/>
    <s v="schodiště"/>
    <s v="Chodby, schodiště a ostatní"/>
    <x v="3"/>
    <n v="22"/>
    <s v="keram.dl."/>
    <m/>
    <x v="2"/>
  </r>
  <r>
    <n v="191"/>
    <m/>
    <s v="schodiště"/>
    <s v="Chodby, schodiště a ostatní"/>
    <x v="3"/>
    <n v="25.7"/>
    <s v="keram.dl."/>
    <m/>
    <x v="2"/>
  </r>
  <r>
    <n v="192"/>
    <m/>
    <s v="výtah"/>
    <s v="výtah"/>
    <x v="6"/>
    <n v="1.2"/>
    <m/>
    <m/>
    <x v="2"/>
  </r>
  <r>
    <n v="193"/>
    <m/>
    <s v="výtah"/>
    <s v="výtah"/>
    <x v="6"/>
    <n v="1.2"/>
    <m/>
    <m/>
    <x v="2"/>
  </r>
  <r>
    <n v="194"/>
    <m/>
    <s v="výtah"/>
    <s v="výtah"/>
    <x v="6"/>
    <n v="1.65"/>
    <m/>
    <m/>
    <x v="2"/>
  </r>
  <r>
    <s v="195a   "/>
    <m/>
    <s v="chodba"/>
    <s v="Chodby, schodiště a ostatní"/>
    <x v="3"/>
    <n v="52.8"/>
    <s v="keram.dl."/>
    <m/>
    <x v="2"/>
  </r>
  <r>
    <s v="195b   "/>
    <m/>
    <s v="chodba"/>
    <s v="Chodby, schodiště a ostatní"/>
    <x v="3"/>
    <n v="52.8"/>
    <s v="keram.dl."/>
    <m/>
    <x v="2"/>
  </r>
  <r>
    <s v="195c   "/>
    <m/>
    <s v="chodba"/>
    <s v="Chodby, schodiště a ostatní"/>
    <x v="3"/>
    <n v="114.7"/>
    <s v="keram.dl."/>
    <m/>
    <x v="2"/>
  </r>
  <r>
    <s v="195d   "/>
    <m/>
    <s v="chodba"/>
    <s v="Chodby, schodiště a ostatní"/>
    <x v="3"/>
    <n v="69.5"/>
    <s v="keram.dl."/>
    <m/>
    <x v="2"/>
  </r>
  <r>
    <s v="195e   "/>
    <m/>
    <s v="chodba"/>
    <s v="Chodby, schodiště a ostatní"/>
    <x v="3"/>
    <n v="24.4"/>
    <s v="keram.dl."/>
    <m/>
    <x v="2"/>
  </r>
  <r>
    <s v="195f   "/>
    <m/>
    <s v="chodba"/>
    <s v="Chodby, schodiště a ostatní"/>
    <x v="3"/>
    <n v="71.5"/>
    <s v="keram.dl."/>
    <m/>
    <x v="2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19">
  <r>
    <s v="0.01"/>
    <m/>
    <x v="0"/>
    <n v="8.3000000000000007"/>
    <n v="2.1"/>
    <s v="stěrková "/>
    <m/>
    <m/>
    <x v="0"/>
  </r>
  <r>
    <s v="0.02"/>
    <m/>
    <x v="1"/>
    <n v="170.5"/>
    <s v="2,90-4,48"/>
    <s v="stěrková "/>
    <m/>
    <m/>
    <x v="0"/>
  </r>
  <r>
    <s v="0.03"/>
    <m/>
    <x v="2"/>
    <n v="22.5"/>
    <n v="2.7"/>
    <s v="keram.dl."/>
    <s v="obklad 2,00"/>
    <m/>
    <x v="0"/>
  </r>
  <r>
    <s v="0.04"/>
    <m/>
    <x v="3"/>
    <n v="5.5"/>
    <n v="2.7"/>
    <s v="keram.dl."/>
    <s v="obklad 2,00"/>
    <m/>
    <x v="0"/>
  </r>
  <r>
    <s v="0.05"/>
    <m/>
    <x v="4"/>
    <n v="1.8"/>
    <n v="2.7"/>
    <s v="keram.dl."/>
    <s v="obklad 2,00"/>
    <m/>
    <x v="0"/>
  </r>
  <r>
    <s v="0.06"/>
    <m/>
    <x v="5"/>
    <n v="43.3"/>
    <n v="2.7"/>
    <s v="keram.dl."/>
    <m/>
    <m/>
    <x v="0"/>
  </r>
  <r>
    <s v="0.07"/>
    <m/>
    <x v="6"/>
    <n v="8.8000000000000007"/>
    <n v="2.7"/>
    <s v="keram.dl."/>
    <m/>
    <m/>
    <x v="0"/>
  </r>
  <r>
    <s v="0.08"/>
    <m/>
    <x v="7"/>
    <n v="8.3000000000000007"/>
    <n v="2.7"/>
    <s v="keram.dl."/>
    <s v="obklad 2,00"/>
    <m/>
    <x v="0"/>
  </r>
  <r>
    <s v="0.09"/>
    <m/>
    <x v="8"/>
    <n v="1.3"/>
    <n v="2.7"/>
    <s v="keram.dl."/>
    <s v="obklad 2,00"/>
    <m/>
    <x v="0"/>
  </r>
  <r>
    <s v="0.10"/>
    <m/>
    <x v="9"/>
    <n v="9.6"/>
    <n v="2.7"/>
    <s v="keram.dl."/>
    <m/>
    <m/>
    <x v="0"/>
  </r>
  <r>
    <s v="0.11"/>
    <m/>
    <x v="10"/>
    <n v="2.7"/>
    <n v="2.7"/>
    <s v="keram.dl."/>
    <s v="obklad 2,00"/>
    <m/>
    <x v="0"/>
  </r>
  <r>
    <s v="0.12"/>
    <m/>
    <x v="11"/>
    <n v="6.1"/>
    <n v="2.7"/>
    <s v="keram.dl."/>
    <s v="obklad 2,00"/>
    <m/>
    <x v="0"/>
  </r>
  <r>
    <s v="0.13"/>
    <m/>
    <x v="12"/>
    <n v="1.9"/>
    <n v="2.7"/>
    <s v="keram.dl."/>
    <s v="obklad 1,20"/>
    <m/>
    <x v="0"/>
  </r>
  <r>
    <s v="0.14"/>
    <m/>
    <x v="13"/>
    <n v="2.5"/>
    <n v="2.7"/>
    <s v="keram.dl."/>
    <s v="obklad 2,00"/>
    <m/>
    <x v="0"/>
  </r>
  <r>
    <s v="0.15"/>
    <m/>
    <x v="14"/>
    <n v="8"/>
    <n v="2.7"/>
    <s v="keram.dl."/>
    <s v="obklad 2,00"/>
    <m/>
    <x v="0"/>
  </r>
  <r>
    <s v="0.16"/>
    <m/>
    <x v="4"/>
    <n v="1.5"/>
    <n v="2.7"/>
    <s v="keram.dl."/>
    <s v="obklad 1,20"/>
    <m/>
    <x v="0"/>
  </r>
  <r>
    <s v="0.17"/>
    <m/>
    <x v="15"/>
    <n v="117.3"/>
    <n v="3.1"/>
    <s v="keram.dl."/>
    <m/>
    <m/>
    <x v="0"/>
  </r>
  <r>
    <s v="0.18"/>
    <m/>
    <x v="16"/>
    <n v="113.5"/>
    <n v="3.1"/>
    <s v="beton"/>
    <m/>
    <m/>
    <x v="0"/>
  </r>
  <r>
    <s v="0.19"/>
    <m/>
    <x v="17"/>
    <n v="153.4"/>
    <m/>
    <s v="beton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">
  <r>
    <s v="101"/>
    <m/>
    <s v="KO"/>
    <s v="Zádveří"/>
    <m/>
    <n v="11.97"/>
    <x v="0"/>
    <x v="0"/>
    <s v="Keramická dlažba"/>
  </r>
  <r>
    <s v="102"/>
    <m/>
    <s v="KO"/>
    <s v="místnost IT"/>
    <m/>
    <n v="5.75"/>
    <x v="1"/>
    <x v="0"/>
    <s v="Zátěžový koberec"/>
  </r>
  <r>
    <s v="103"/>
    <m/>
    <s v="KO"/>
    <s v="místnost IT"/>
    <m/>
    <n v="11.34"/>
    <x v="1"/>
    <x v="0"/>
    <s v="Zátěžový koberec"/>
  </r>
  <r>
    <s v="104"/>
    <m/>
    <s v="KO"/>
    <s v="Chodba"/>
    <m/>
    <n v="316.62"/>
    <x v="0"/>
    <x v="0"/>
    <s v="Keramická dlažba"/>
  </r>
  <r>
    <s v="105"/>
    <m/>
    <s v="KO"/>
    <s v="Schodiště kruhové"/>
    <m/>
    <n v="17.37"/>
    <x v="0"/>
    <x v="0"/>
    <s v="Keramická dlažba"/>
  </r>
  <r>
    <s v="106"/>
    <s v="KOZE"/>
    <s v="TM"/>
    <s v="přípravna"/>
    <m/>
    <n v="6.72"/>
    <x v="2"/>
    <x v="0"/>
    <s v="Zátěžový vinyl"/>
  </r>
  <r>
    <s v="107"/>
    <s v="KOZE"/>
    <s v="V"/>
    <s v="Učebna KOZE"/>
    <m/>
    <n v="35.659999999999997"/>
    <x v="3"/>
    <x v="0"/>
    <s v="Zátěžový vinyl"/>
  </r>
  <r>
    <s v="108"/>
    <s v="KOZE"/>
    <s v="V"/>
    <s v="Učebna KOZE"/>
    <m/>
    <n v="76.569999999999993"/>
    <x v="3"/>
    <x v="0"/>
    <s v="Zátěžový vinyl"/>
  </r>
  <r>
    <s v="109"/>
    <s v="KOZE"/>
    <s v="V"/>
    <s v="Učebna KOZE"/>
    <m/>
    <n v="76.92"/>
    <x v="3"/>
    <x v="0"/>
    <s v="Zátěžový vinyl"/>
  </r>
  <r>
    <s v="110"/>
    <m/>
    <s v="SO"/>
    <s v="WC ženy"/>
    <m/>
    <n v="17.03"/>
    <x v="4"/>
    <x v="0"/>
    <s v="Keramická dlažba"/>
  </r>
  <r>
    <s v="111"/>
    <m/>
    <s v="KO"/>
    <s v="Schodiště"/>
    <m/>
    <n v="16.989999999999998"/>
    <x v="0"/>
    <x v="0"/>
    <s v="Keramická dlažba"/>
  </r>
  <r>
    <s v="112"/>
    <s v="KSZ"/>
    <s v="V"/>
    <s v="Učebna KSZ"/>
    <m/>
    <n v="76.92"/>
    <x v="3"/>
    <x v="0"/>
    <s v="Zátěžový vinyl"/>
  </r>
  <r>
    <s v="113"/>
    <s v="KSZ"/>
    <s v="V"/>
    <s v="UčebnaKSZ"/>
    <m/>
    <n v="76.569999999999993"/>
    <x v="3"/>
    <x v="0"/>
    <s v="Zátěžový vinyl"/>
  </r>
  <r>
    <s v="114"/>
    <s v="KSZ"/>
    <s v="V"/>
    <s v="Učebna KSZ"/>
    <m/>
    <n v="32.659999999999997"/>
    <x v="3"/>
    <x v="0"/>
    <s v="Zátěžový vinyl"/>
  </r>
  <r>
    <s v="003"/>
    <m/>
    <s v="KO"/>
    <s v="Výtahová šachta &quot;V1&quot;"/>
    <s v="s"/>
    <n v="4.03"/>
    <x v="0"/>
    <x v="0"/>
    <s v="Bezprašný nátěr"/>
  </r>
  <r>
    <s v="004"/>
    <m/>
    <s v="KO"/>
    <s v="Výtahová šachta &quot;V2&quot;"/>
    <s v="s"/>
    <n v="3.8"/>
    <x v="0"/>
    <x v="0"/>
    <s v="Bezprašný nátěr"/>
  </r>
  <r>
    <s v="115"/>
    <m/>
    <s v="SO"/>
    <s v="WC-mobilní s asistencí"/>
    <m/>
    <n v="5.17"/>
    <x v="4"/>
    <x v="0"/>
    <s v="Keramická dlažba"/>
  </r>
  <r>
    <s v="116"/>
    <m/>
    <s v="SO"/>
    <s v="WC-muži"/>
    <m/>
    <n v="13.13"/>
    <x v="4"/>
    <x v="0"/>
    <s v="Keramická dlažba"/>
  </r>
  <r>
    <s v="117"/>
    <m/>
    <s v="SO"/>
    <s v="Úklidová komora"/>
    <m/>
    <n v="1.7"/>
    <x v="0"/>
    <x v="0"/>
    <s v="Keramická dlažba"/>
  </r>
  <r>
    <s v="118"/>
    <m/>
    <s v="SO"/>
    <s v="WC-ženy"/>
    <m/>
    <n v="13.4"/>
    <x v="4"/>
    <x v="0"/>
    <s v="Keramická dlažba"/>
  </r>
  <r>
    <s v="119"/>
    <s v="KZR"/>
    <s v="S"/>
    <s v="Sklad KZR"/>
    <m/>
    <n v="14.91"/>
    <x v="2"/>
    <x v="0"/>
    <s v="Zátěžový vinyl"/>
  </r>
  <r>
    <s v="120"/>
    <s v="KZR"/>
    <s v="V"/>
    <s v="Učebna KZR"/>
    <m/>
    <n v="51.64"/>
    <x v="3"/>
    <x v="0"/>
    <s v="Zátěžový vinyl"/>
  </r>
  <r>
    <s v="121"/>
    <s v="KZR"/>
    <s v="V"/>
    <s v="Učebna KZR"/>
    <m/>
    <n v="76.92"/>
    <x v="3"/>
    <x v="0"/>
    <s v="Zátěžový vinyl"/>
  </r>
  <r>
    <s v="122"/>
    <m/>
    <s v="SO"/>
    <s v="WC-muži"/>
    <m/>
    <n v="17.03"/>
    <x v="4"/>
    <x v="0"/>
    <s v="Keramická dlažba"/>
  </r>
  <r>
    <s v="123"/>
    <m/>
    <s v="KO"/>
    <s v="Schodiště"/>
    <m/>
    <n v="17.36"/>
    <x v="0"/>
    <x v="0"/>
    <s v="Keramická dlažba"/>
  </r>
  <r>
    <s v="124"/>
    <s v="KZR"/>
    <s v="V"/>
    <s v="Učebna KZR"/>
    <m/>
    <n v="76.92"/>
    <x v="3"/>
    <x v="0"/>
    <s v="Zátěžový vinyl"/>
  </r>
  <r>
    <s v="125"/>
    <s v="KZR"/>
    <s v="V"/>
    <s v="Učebna KZR"/>
    <m/>
    <n v="51.64"/>
    <x v="3"/>
    <x v="0"/>
    <s v="Zátěžový vinyl"/>
  </r>
  <r>
    <s v="VS1"/>
    <m/>
    <s v="KO"/>
    <s v="Venkovní schodiště"/>
    <m/>
    <n v="3.75"/>
    <x v="0"/>
    <x v="0"/>
    <s v="Bezprašný nátěr"/>
  </r>
  <r>
    <s v="VS2"/>
    <m/>
    <s v="KO"/>
    <s v="Venkovní schodiště"/>
    <m/>
    <n v="3.21"/>
    <x v="0"/>
    <x v="0"/>
    <s v="Bezprašný nátěr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23">
  <r>
    <s v="1.01"/>
    <m/>
    <x v="0"/>
    <n v="4"/>
    <n v="3"/>
    <s v="stěrková "/>
    <m/>
    <m/>
    <x v="0"/>
  </r>
  <r>
    <s v="1.02"/>
    <m/>
    <x v="1"/>
    <n v="616.79999999999995"/>
    <s v="3,27-4,50"/>
    <s v="stěrková "/>
    <m/>
    <m/>
    <x v="0"/>
  </r>
  <r>
    <s v="1.03"/>
    <m/>
    <x v="2"/>
    <n v="16.7"/>
    <n v="1.48"/>
    <s v="stěrková "/>
    <m/>
    <m/>
    <x v="1"/>
  </r>
  <r>
    <s v="1.04"/>
    <m/>
    <x v="3"/>
    <n v="39.799999999999997"/>
    <n v="2.8"/>
    <s v="dřev.masiv"/>
    <m/>
    <m/>
    <x v="0"/>
  </r>
  <r>
    <s v="1.05"/>
    <m/>
    <x v="4"/>
    <n v="54.1"/>
    <n v="2.8"/>
    <s v="dřev.masiv"/>
    <m/>
    <m/>
    <x v="0"/>
  </r>
  <r>
    <s v="1.06"/>
    <m/>
    <x v="5"/>
    <n v="85.8"/>
    <s v="2,68-3,60"/>
    <s v="pvc"/>
    <m/>
    <m/>
    <x v="2"/>
  </r>
  <r>
    <s v="1.07"/>
    <m/>
    <x v="5"/>
    <n v="85.8"/>
    <s v="2,68-3,60"/>
    <s v="pvc"/>
    <m/>
    <m/>
    <x v="2"/>
  </r>
  <r>
    <s v="1.08"/>
    <m/>
    <x v="6"/>
    <n v="21.4"/>
    <m/>
    <s v="stěrková "/>
    <m/>
    <m/>
    <x v="3"/>
  </r>
  <r>
    <s v="1.09"/>
    <m/>
    <x v="7"/>
    <n v="22.8"/>
    <n v="2.5499999999999998"/>
    <s v="stěrková "/>
    <s v="SDK obklad"/>
    <s v="SDK podhled"/>
    <x v="1"/>
  </r>
  <r>
    <s v="1.10"/>
    <m/>
    <x v="8"/>
    <n v="12.3"/>
    <n v="2.5499999999999998"/>
    <s v="keram.dl."/>
    <m/>
    <m/>
    <x v="1"/>
  </r>
  <r>
    <s v="1.11"/>
    <m/>
    <x v="9"/>
    <n v="5.2"/>
    <n v="2.5499999999999998"/>
    <s v="keram.dl."/>
    <m/>
    <m/>
    <x v="1"/>
  </r>
  <r>
    <s v="1.12"/>
    <m/>
    <x v="10"/>
    <n v="2"/>
    <n v="2.5499999999999998"/>
    <s v="keram.dl."/>
    <s v="obklad 2,00"/>
    <m/>
    <x v="1"/>
  </r>
  <r>
    <s v="1.13"/>
    <m/>
    <x v="11"/>
    <n v="102.3"/>
    <n v="3"/>
    <m/>
    <m/>
    <m/>
    <x v="1"/>
  </r>
  <r>
    <s v="1.14"/>
    <m/>
    <x v="12"/>
    <n v="32.799999999999997"/>
    <n v="5.57"/>
    <s v="dřev.masiv"/>
    <m/>
    <m/>
    <x v="0"/>
  </r>
  <r>
    <s v="1.15"/>
    <m/>
    <x v="13"/>
    <n v="6.2"/>
    <n v="2.54"/>
    <s v="keram.dl."/>
    <m/>
    <m/>
    <x v="1"/>
  </r>
  <r>
    <s v="1.16"/>
    <m/>
    <x v="14"/>
    <n v="2"/>
    <n v="2.54"/>
    <s v="keram.dl."/>
    <s v="obklad 2,00"/>
    <m/>
    <x v="2"/>
  </r>
  <r>
    <s v="1.17"/>
    <m/>
    <x v="15"/>
    <n v="3.8"/>
    <n v="2.54"/>
    <s v="keram.dl."/>
    <m/>
    <m/>
    <x v="2"/>
  </r>
  <r>
    <s v="1.18"/>
    <m/>
    <x v="16"/>
    <n v="1.6"/>
    <n v="2.54"/>
    <s v="keram.dl."/>
    <s v="obklad 2,00"/>
    <m/>
    <x v="1"/>
  </r>
  <r>
    <s v="1.19"/>
    <m/>
    <x v="17"/>
    <n v="2.6"/>
    <n v="2.54"/>
    <s v="keram.dl."/>
    <s v="obklad 2,00"/>
    <m/>
    <x v="2"/>
  </r>
  <r>
    <s v="1.20"/>
    <m/>
    <x v="18"/>
    <n v="7"/>
    <n v="2.54"/>
    <s v="keram.dl."/>
    <s v="obklad 2,00"/>
    <m/>
    <x v="2"/>
  </r>
  <r>
    <s v="1.21"/>
    <m/>
    <x v="19"/>
    <n v="2.6"/>
    <n v="2.54"/>
    <s v="keram.dl."/>
    <s v="obklad 2,00"/>
    <m/>
    <x v="2"/>
  </r>
  <r>
    <s v="1.22"/>
    <m/>
    <x v="20"/>
    <n v="10.199999999999999"/>
    <n v="2.54"/>
    <s v="keram.dl."/>
    <s v="obklad 2,00"/>
    <m/>
    <x v="2"/>
  </r>
  <r>
    <s v="1.23"/>
    <m/>
    <x v="21"/>
    <n v="29.9"/>
    <n v="3"/>
    <m/>
    <m/>
    <m/>
    <x v="1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62">
  <r>
    <n v="1"/>
    <s v="101/I   "/>
    <m/>
    <x v="0"/>
    <n v="8.6999999999999993"/>
    <n v="3.31"/>
    <s v="keramická dl."/>
    <s v="obklad 2,00"/>
    <m/>
    <x v="0"/>
  </r>
  <r>
    <n v="1"/>
    <s v="102/I   "/>
    <m/>
    <x v="1"/>
    <n v="2.2999999999999998"/>
    <n v="3.31"/>
    <s v="keramická dl."/>
    <m/>
    <m/>
    <x v="1"/>
  </r>
  <r>
    <n v="1"/>
    <s v="103/I   "/>
    <m/>
    <x v="0"/>
    <n v="8.6"/>
    <s v="3,31(3,14)"/>
    <s v="keramická dl."/>
    <s v="obklad 2,00"/>
    <m/>
    <x v="0"/>
  </r>
  <r>
    <n v="1"/>
    <s v="104/I   "/>
    <s v="104"/>
    <x v="2"/>
    <n v="21.1"/>
    <n v="3.35"/>
    <s v="pvc"/>
    <m/>
    <m/>
    <x v="2"/>
  </r>
  <r>
    <n v="1"/>
    <s v="106/I  "/>
    <s v="106"/>
    <x v="2"/>
    <n v="10.6"/>
    <n v="3.35"/>
    <s v="koberec"/>
    <m/>
    <m/>
    <x v="2"/>
  </r>
  <r>
    <n v="1"/>
    <s v="108/I   "/>
    <s v="108"/>
    <x v="2"/>
    <n v="11.2"/>
    <n v="3.35"/>
    <s v="koberec"/>
    <m/>
    <m/>
    <x v="2"/>
  </r>
  <r>
    <n v="1"/>
    <s v="109/I   "/>
    <s v="109"/>
    <x v="2"/>
    <n v="21.7"/>
    <n v="3.35"/>
    <s v="pvc"/>
    <m/>
    <m/>
    <x v="2"/>
  </r>
  <r>
    <n v="1"/>
    <s v="111/I   "/>
    <s v="111"/>
    <x v="2"/>
    <n v="10.7"/>
    <n v="3.35"/>
    <s v="pvc"/>
    <m/>
    <m/>
    <x v="2"/>
  </r>
  <r>
    <n v="1"/>
    <s v="113/I   "/>
    <s v="113"/>
    <x v="2"/>
    <n v="10.5"/>
    <n v="3.35"/>
    <s v="pvc"/>
    <m/>
    <m/>
    <x v="2"/>
  </r>
  <r>
    <n v="1"/>
    <s v="114/I  "/>
    <s v="114"/>
    <x v="2"/>
    <n v="10.8"/>
    <n v="3.35"/>
    <s v="pvc"/>
    <m/>
    <m/>
    <x v="2"/>
  </r>
  <r>
    <n v="1"/>
    <s v="116/I   "/>
    <s v="116"/>
    <x v="2"/>
    <n v="10.1"/>
    <n v="3.35"/>
    <s v="pvc"/>
    <m/>
    <m/>
    <x v="2"/>
  </r>
  <r>
    <n v="1"/>
    <s v="117/I   "/>
    <s v="117"/>
    <x v="3"/>
    <n v="33.799999999999997"/>
    <n v="3.36"/>
    <s v="pvc"/>
    <m/>
    <m/>
    <x v="2"/>
  </r>
  <r>
    <n v="1"/>
    <s v="119/I   "/>
    <s v="118"/>
    <x v="2"/>
    <n v="16.600000000000001"/>
    <n v="3.36"/>
    <s v="pvc"/>
    <m/>
    <m/>
    <x v="2"/>
  </r>
  <r>
    <n v="1"/>
    <s v="120/I   "/>
    <s v="120"/>
    <x v="2"/>
    <n v="18"/>
    <n v="3.36"/>
    <s v="pvc"/>
    <m/>
    <m/>
    <x v="2"/>
  </r>
  <r>
    <n v="1"/>
    <s v="121/I   "/>
    <s v="121"/>
    <x v="4"/>
    <n v="34.1"/>
    <n v="3.37"/>
    <s v="pvc"/>
    <m/>
    <m/>
    <x v="0"/>
  </r>
  <r>
    <n v="1"/>
    <s v="122/I   "/>
    <s v="122"/>
    <x v="2"/>
    <n v="17.399999999999999"/>
    <n v="3.36"/>
    <s v="pvc"/>
    <m/>
    <m/>
    <x v="2"/>
  </r>
  <r>
    <n v="1"/>
    <s v="123/I   "/>
    <s v="123"/>
    <x v="2"/>
    <n v="16.5"/>
    <n v="3.36"/>
    <s v="pvc"/>
    <m/>
    <m/>
    <x v="2"/>
  </r>
  <r>
    <n v="1"/>
    <s v="124/I   "/>
    <s v="124"/>
    <x v="4"/>
    <n v="34.1"/>
    <n v="3.36"/>
    <s v="pvc"/>
    <m/>
    <m/>
    <x v="0"/>
  </r>
  <r>
    <n v="1"/>
    <s v="125/I   "/>
    <s v="125"/>
    <x v="2"/>
    <n v="16.600000000000001"/>
    <n v="3.36"/>
    <s v="pvc"/>
    <m/>
    <m/>
    <x v="2"/>
  </r>
  <r>
    <n v="1"/>
    <s v="127/I   "/>
    <s v="127"/>
    <x v="4"/>
    <n v="52.5"/>
    <n v="3.35"/>
    <s v="pvc"/>
    <m/>
    <m/>
    <x v="0"/>
  </r>
  <r>
    <n v="1"/>
    <s v="190/I   "/>
    <m/>
    <x v="5"/>
    <n v="19.3"/>
    <n v="3.29"/>
    <s v="pvc"/>
    <m/>
    <m/>
    <x v="0"/>
  </r>
  <r>
    <n v="1"/>
    <s v="191/I   "/>
    <m/>
    <x v="6"/>
    <n v="108.4"/>
    <s v="3,31(2,87)"/>
    <s v="pvc"/>
    <m/>
    <m/>
    <x v="0"/>
  </r>
  <r>
    <n v="2"/>
    <s v="101/II   "/>
    <m/>
    <x v="0"/>
    <n v="8.6"/>
    <n v="3.32"/>
    <s v="keramická dl."/>
    <s v="obklad 1,98"/>
    <m/>
    <x v="0"/>
  </r>
  <r>
    <n v="2"/>
    <s v="102/II "/>
    <m/>
    <x v="1"/>
    <n v="2.2999999999999998"/>
    <n v="3.32"/>
    <s v="keramická dl."/>
    <m/>
    <m/>
    <x v="1"/>
  </r>
  <r>
    <n v="2"/>
    <s v="103/II   "/>
    <m/>
    <x v="0"/>
    <n v="8.6"/>
    <n v="3.31"/>
    <s v="keramická dl."/>
    <s v="obklad 1,98"/>
    <m/>
    <x v="0"/>
  </r>
  <r>
    <n v="2"/>
    <s v="104/II   "/>
    <s v="104   "/>
    <x v="2"/>
    <n v="21.2"/>
    <n v="3.33"/>
    <s v="koberec"/>
    <m/>
    <m/>
    <x v="2"/>
  </r>
  <r>
    <n v="2"/>
    <s v="105/II   "/>
    <s v="105   "/>
    <x v="2"/>
    <n v="10.6"/>
    <n v="3.33"/>
    <s v="koberec"/>
    <m/>
    <m/>
    <x v="2"/>
  </r>
  <r>
    <n v="2"/>
    <s v="106/II   "/>
    <s v="106   "/>
    <x v="2"/>
    <n v="10.8"/>
    <n v="3.31"/>
    <s v="pvc"/>
    <m/>
    <m/>
    <x v="2"/>
  </r>
  <r>
    <n v="2"/>
    <s v="107/II   "/>
    <s v="107   "/>
    <x v="2"/>
    <n v="11.1"/>
    <n v="3.33"/>
    <s v="pvc"/>
    <m/>
    <m/>
    <x v="2"/>
  </r>
  <r>
    <n v="2"/>
    <s v="108/II   "/>
    <m/>
    <x v="2"/>
    <n v="10.5"/>
    <n v="3.33"/>
    <s v="pvc"/>
    <m/>
    <m/>
    <x v="2"/>
  </r>
  <r>
    <n v="2"/>
    <s v="109/II   "/>
    <s v="109   "/>
    <x v="2"/>
    <n v="10.5"/>
    <n v="3.33"/>
    <s v="koberec"/>
    <m/>
    <m/>
    <x v="2"/>
  </r>
  <r>
    <n v="2"/>
    <s v="110/II   "/>
    <m/>
    <x v="2"/>
    <n v="10.7"/>
    <n v="3.33"/>
    <s v="koberec"/>
    <m/>
    <m/>
    <x v="2"/>
  </r>
  <r>
    <n v="2"/>
    <s v="111/II   "/>
    <s v="111   "/>
    <x v="2"/>
    <n v="21.1"/>
    <n v="3.32"/>
    <s v="koberec"/>
    <m/>
    <m/>
    <x v="2"/>
  </r>
  <r>
    <n v="2"/>
    <s v="113/II"/>
    <s v="113"/>
    <x v="3"/>
    <n v="35.1"/>
    <n v="3.3"/>
    <s v="koberec"/>
    <m/>
    <m/>
    <x v="3"/>
  </r>
  <r>
    <n v="2"/>
    <s v="116/II   "/>
    <m/>
    <x v="7"/>
    <n v="72.8"/>
    <n v="3.31"/>
    <s v="pvc"/>
    <m/>
    <m/>
    <x v="2"/>
  </r>
  <r>
    <n v="2"/>
    <s v="117/II   "/>
    <s v="117   "/>
    <x v="7"/>
    <n v="71.5"/>
    <n v="3.3"/>
    <s v="pvc"/>
    <m/>
    <m/>
    <x v="2"/>
  </r>
  <r>
    <n v="2"/>
    <s v="118/II   "/>
    <s v="118   "/>
    <x v="2"/>
    <n v="18.3"/>
    <n v="3.33"/>
    <s v="pvc"/>
    <m/>
    <m/>
    <x v="2"/>
  </r>
  <r>
    <n v="2"/>
    <s v="119/II   "/>
    <s v="119   "/>
    <x v="2"/>
    <n v="16.3"/>
    <n v="3.32"/>
    <s v="pvc"/>
    <m/>
    <m/>
    <x v="2"/>
  </r>
  <r>
    <n v="2"/>
    <s v="120/II   "/>
    <s v="120   "/>
    <x v="2"/>
    <n v="17.3"/>
    <n v="3.33"/>
    <s v="pvc"/>
    <m/>
    <m/>
    <x v="2"/>
  </r>
  <r>
    <n v="2"/>
    <s v="121/II   "/>
    <s v="121   "/>
    <x v="7"/>
    <n v="16.3"/>
    <n v="3.32"/>
    <s v="pvc"/>
    <m/>
    <m/>
    <x v="2"/>
  </r>
  <r>
    <n v="2"/>
    <s v="190/II   "/>
    <m/>
    <x v="5"/>
    <n v="19.399999999999999"/>
    <n v="3.29"/>
    <s v="pvc"/>
    <m/>
    <m/>
    <x v="0"/>
  </r>
  <r>
    <n v="2"/>
    <s v="191/II   "/>
    <m/>
    <x v="6"/>
    <n v="108.4"/>
    <s v="3,30(2,85)"/>
    <s v="keramická dl."/>
    <m/>
    <m/>
    <x v="0"/>
  </r>
  <r>
    <n v="3"/>
    <s v="101/III   "/>
    <m/>
    <x v="0"/>
    <n v="8.6"/>
    <n v="3.28"/>
    <s v="keramická dl."/>
    <s v="obklad 1,98"/>
    <m/>
    <x v="0"/>
  </r>
  <r>
    <n v="3"/>
    <s v="102/III   "/>
    <m/>
    <x v="1"/>
    <n v="2.4"/>
    <n v="2.27"/>
    <s v="keramická dl."/>
    <m/>
    <m/>
    <x v="1"/>
  </r>
  <r>
    <n v="3"/>
    <s v="103/III   "/>
    <m/>
    <x v="0"/>
    <n v="8.4"/>
    <n v="3.26"/>
    <s v="keramická dl."/>
    <s v="obklad 1,98"/>
    <m/>
    <x v="0"/>
  </r>
  <r>
    <n v="3"/>
    <s v="104/III   "/>
    <m/>
    <x v="2"/>
    <n v="10.199999999999999"/>
    <n v="3.3"/>
    <s v="pvc"/>
    <m/>
    <m/>
    <x v="2"/>
  </r>
  <r>
    <n v="3"/>
    <s v="105/III   "/>
    <s v="105   "/>
    <x v="2"/>
    <n v="10.5"/>
    <n v="3.3"/>
    <s v="koberec"/>
    <m/>
    <m/>
    <x v="2"/>
  </r>
  <r>
    <n v="3"/>
    <s v="107/III   "/>
    <s v="107   "/>
    <x v="2"/>
    <n v="22.1"/>
    <n v="3.27"/>
    <s v="koberec"/>
    <m/>
    <m/>
    <x v="2"/>
  </r>
  <r>
    <n v="3"/>
    <s v="108/III   "/>
    <s v="108   "/>
    <x v="2"/>
    <n v="10.8"/>
    <n v="3.27"/>
    <s v="pvc"/>
    <m/>
    <m/>
    <x v="2"/>
  </r>
  <r>
    <n v="3"/>
    <s v="109/III   "/>
    <s v="109   "/>
    <x v="2"/>
    <n v="10.5"/>
    <n v="3.28"/>
    <s v="koberec"/>
    <m/>
    <m/>
    <x v="2"/>
  </r>
  <r>
    <n v="3"/>
    <s v="110/III   "/>
    <s v="110   "/>
    <x v="2"/>
    <n v="10.5"/>
    <n v="3.33"/>
    <s v="pvc"/>
    <m/>
    <m/>
    <x v="2"/>
  </r>
  <r>
    <n v="3"/>
    <s v="111/III   "/>
    <s v="111   "/>
    <x v="2"/>
    <n v="10.6"/>
    <n v="3.3"/>
    <s v="pvc"/>
    <m/>
    <m/>
    <x v="2"/>
  </r>
  <r>
    <n v="3"/>
    <s v="112/III   "/>
    <s v="112   "/>
    <x v="2"/>
    <n v="10.6"/>
    <n v="3.3"/>
    <s v="pvc"/>
    <m/>
    <m/>
    <x v="2"/>
  </r>
  <r>
    <n v="3"/>
    <s v="113/III   "/>
    <s v="113   "/>
    <x v="2"/>
    <n v="10.3"/>
    <n v="3.26"/>
    <s v="pvc"/>
    <m/>
    <m/>
    <x v="2"/>
  </r>
  <r>
    <n v="3"/>
    <s v="114/III   "/>
    <s v="114   "/>
    <x v="7"/>
    <n v="35.200000000000003"/>
    <n v="3.29"/>
    <s v="pvc"/>
    <m/>
    <m/>
    <x v="2"/>
  </r>
  <r>
    <n v="3"/>
    <s v="115/III   "/>
    <s v="115   "/>
    <x v="7"/>
    <n v="17.399999999999999"/>
    <n v="3.27"/>
    <s v="pvc"/>
    <m/>
    <m/>
    <x v="2"/>
  </r>
  <r>
    <n v="3"/>
    <s v="117/III   "/>
    <s v="117   "/>
    <x v="8"/>
    <n v="17.2"/>
    <n v="3.3"/>
    <s v="pvc"/>
    <m/>
    <m/>
    <x v="0"/>
  </r>
  <r>
    <n v="3"/>
    <s v="119/III  "/>
    <s v="119   "/>
    <x v="8"/>
    <n v="36.700000000000003"/>
    <n v="3.3"/>
    <s v="pvc"/>
    <m/>
    <m/>
    <x v="0"/>
  </r>
  <r>
    <n v="3"/>
    <s v="123/III  "/>
    <s v="123   "/>
    <x v="7"/>
    <n v="90.2"/>
    <n v="3.28"/>
    <s v="pvc"/>
    <m/>
    <m/>
    <x v="2"/>
  </r>
  <r>
    <n v="3"/>
    <s v="125/III   "/>
    <s v="125   "/>
    <x v="8"/>
    <n v="53.5"/>
    <n v="3.28"/>
    <s v="pvc"/>
    <m/>
    <m/>
    <x v="0"/>
  </r>
  <r>
    <n v="3"/>
    <s v="190/III   "/>
    <m/>
    <x v="5"/>
    <n v="19.3"/>
    <n v="3.27"/>
    <s v="pvc"/>
    <m/>
    <m/>
    <x v="0"/>
  </r>
  <r>
    <n v="3"/>
    <s v="191/III   "/>
    <m/>
    <x v="6"/>
    <n v="108.4"/>
    <s v="3,26(2,83)"/>
    <s v="pvc"/>
    <m/>
    <m/>
    <x v="0"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n v="1"/>
    <s v="201/I  "/>
    <m/>
    <x v="0"/>
    <n v="8.6999999999999993"/>
    <s v="3,36-3,46"/>
    <s v="keramická dl."/>
    <s v="obklad 1,98"/>
    <m/>
    <x v="0"/>
  </r>
  <r>
    <n v="1"/>
    <s v="202/I   "/>
    <m/>
    <x v="1"/>
    <n v="2.2999999999999998"/>
    <s v="3,35(4,46)"/>
    <s v="keramická dl."/>
    <m/>
    <m/>
    <x v="1"/>
  </r>
  <r>
    <n v="1"/>
    <s v="203/I   "/>
    <m/>
    <x v="0"/>
    <n v="8.6"/>
    <s v="3,36-3,46"/>
    <s v="keramická dl."/>
    <s v="obklad 1,98"/>
    <m/>
    <x v="0"/>
  </r>
  <r>
    <n v="1"/>
    <s v="204/I   "/>
    <s v="204   "/>
    <x v="2"/>
    <n v="20.7"/>
    <s v="3,37-3,44"/>
    <s v="koberec"/>
    <m/>
    <m/>
    <x v="2"/>
  </r>
  <r>
    <n v="1"/>
    <s v="206/I   "/>
    <s v="206   "/>
    <x v="2"/>
    <n v="10.6"/>
    <s v="3,37-3,44"/>
    <s v="pvc"/>
    <m/>
    <m/>
    <x v="2"/>
  </r>
  <r>
    <n v="1"/>
    <s v="207/I   "/>
    <s v="207   "/>
    <x v="2"/>
    <n v="11"/>
    <s v="3,37-3,44"/>
    <s v="pvc"/>
    <m/>
    <m/>
    <x v="2"/>
  </r>
  <r>
    <n v="1"/>
    <s v="208/I   "/>
    <s v="208   "/>
    <x v="2"/>
    <n v="11.7"/>
    <s v="3,37-3,44"/>
    <s v="pvc"/>
    <m/>
    <m/>
    <x v="2"/>
  </r>
  <r>
    <n v="1"/>
    <s v="209/I  "/>
    <s v="209   "/>
    <x v="2"/>
    <n v="11.3"/>
    <s v="3,37-3,44"/>
    <s v="pvc"/>
    <m/>
    <m/>
    <x v="2"/>
  </r>
  <r>
    <n v="1"/>
    <s v="210/I   "/>
    <s v="210   "/>
    <x v="2"/>
    <n v="9.9"/>
    <s v="3,37-3,44"/>
    <s v="pvc"/>
    <m/>
    <m/>
    <x v="2"/>
  </r>
  <r>
    <n v="1"/>
    <s v="211/I   "/>
    <s v="211   "/>
    <x v="2"/>
    <n v="11.3"/>
    <s v="3,37-3,44"/>
    <s v="koberec"/>
    <m/>
    <m/>
    <x v="2"/>
  </r>
  <r>
    <n v="1"/>
    <s v="213/I   "/>
    <s v="213   "/>
    <x v="2"/>
    <n v="21.3"/>
    <s v="3,34-3,44"/>
    <s v="pvc"/>
    <m/>
    <m/>
    <x v="2"/>
  </r>
  <r>
    <n v="1"/>
    <s v="214/I   "/>
    <s v="214   "/>
    <x v="2"/>
    <n v="16.3"/>
    <s v="3,23-3,44"/>
    <s v="koberec"/>
    <m/>
    <m/>
    <x v="2"/>
  </r>
  <r>
    <n v="1"/>
    <s v="215/I   "/>
    <s v="215   "/>
    <x v="2"/>
    <n v="16.100000000000001"/>
    <s v="3,23-3,44"/>
    <s v="koberec"/>
    <m/>
    <m/>
    <x v="2"/>
  </r>
  <r>
    <n v="1"/>
    <s v="216/I   "/>
    <s v="216   "/>
    <x v="3"/>
    <n v="19.3"/>
    <s v="3,23-3,44"/>
    <s v="pvc"/>
    <m/>
    <m/>
    <x v="3"/>
  </r>
  <r>
    <n v="1"/>
    <s v="217/I   "/>
    <s v="217   "/>
    <x v="4"/>
    <n v="55.4"/>
    <s v="3,03-3,22"/>
    <s v="pvc"/>
    <m/>
    <m/>
    <x v="0"/>
  </r>
  <r>
    <n v="1"/>
    <s v="218/I   "/>
    <s v="218   "/>
    <x v="2"/>
    <n v="17.100000000000001"/>
    <s v="3,03-3,22"/>
    <s v="pvc"/>
    <m/>
    <m/>
    <x v="2"/>
  </r>
  <r>
    <n v="1"/>
    <s v="219/I   "/>
    <s v="219   "/>
    <x v="4"/>
    <n v="36.1"/>
    <s v="3,03-3,22"/>
    <s v="pvc"/>
    <m/>
    <m/>
    <x v="0"/>
  </r>
  <r>
    <n v="1"/>
    <s v="220/I   "/>
    <s v="220   "/>
    <x v="4"/>
    <n v="53.2"/>
    <s v="3,03-3,22"/>
    <s v="pvc"/>
    <m/>
    <m/>
    <x v="0"/>
  </r>
  <r>
    <n v="1"/>
    <s v="220a/I   "/>
    <s v="220a   "/>
    <x v="2"/>
    <n v="18.3"/>
    <s v="3,03-3,22"/>
    <s v="koberec"/>
    <m/>
    <m/>
    <x v="2"/>
  </r>
  <r>
    <n v="1"/>
    <s v="221/I  "/>
    <s v="221   "/>
    <x v="5"/>
    <n v="16.7"/>
    <s v="3,23-3,44"/>
    <s v="pvc"/>
    <m/>
    <m/>
    <x v="1"/>
  </r>
  <r>
    <n v="1"/>
    <s v="290/I   "/>
    <m/>
    <x v="6"/>
    <n v="19.399999999999999"/>
    <n v="5.86"/>
    <s v="pvc"/>
    <m/>
    <m/>
    <x v="0"/>
  </r>
  <r>
    <n v="1"/>
    <s v="291/I   "/>
    <m/>
    <x v="7"/>
    <n v="108.3"/>
    <s v="3,26-3,32(2,86)"/>
    <s v="pvc"/>
    <m/>
    <m/>
    <x v="0"/>
  </r>
  <r>
    <n v="2"/>
    <s v="201/II   "/>
    <m/>
    <x v="0"/>
    <n v="8.6999999999999993"/>
    <s v="3,31-3,45"/>
    <s v="keramická dl."/>
    <s v="obklad 2,00"/>
    <m/>
    <x v="0"/>
  </r>
  <r>
    <n v="2"/>
    <s v="202/II  "/>
    <s v="202"/>
    <x v="1"/>
    <n v="2.2999999999999998"/>
    <s v="3,31(4,46)"/>
    <s v="keramická dl."/>
    <m/>
    <m/>
    <x v="1"/>
  </r>
  <r>
    <n v="2"/>
    <s v="203/II "/>
    <m/>
    <x v="0"/>
    <n v="8.5"/>
    <s v="3,31-3,45"/>
    <s v="keramická dl."/>
    <s v="obklad 2,00"/>
    <m/>
    <x v="0"/>
  </r>
  <r>
    <n v="2"/>
    <s v="205/II  "/>
    <s v="205   "/>
    <x v="2"/>
    <n v="21.2"/>
    <s v="3,36-3,46"/>
    <s v="koberec"/>
    <m/>
    <m/>
    <x v="2"/>
  </r>
  <r>
    <n v="2"/>
    <s v="206/II   "/>
    <s v="206   "/>
    <x v="2"/>
    <n v="10.3"/>
    <s v="3,36-3,46"/>
    <s v="pvc"/>
    <m/>
    <m/>
    <x v="2"/>
  </r>
  <r>
    <n v="2"/>
    <s v="207/II  "/>
    <s v="207   "/>
    <x v="2"/>
    <n v="11.1"/>
    <s v="3,36-3,46"/>
    <s v="pvc"/>
    <m/>
    <m/>
    <x v="2"/>
  </r>
  <r>
    <n v="2"/>
    <s v="208/II   "/>
    <s v="208   "/>
    <x v="3"/>
    <n v="21.8"/>
    <s v="3,36-3,46"/>
    <s v="pvc"/>
    <m/>
    <m/>
    <x v="3"/>
  </r>
  <r>
    <n v="2"/>
    <s v="209/II   "/>
    <s v="209   "/>
    <x v="2"/>
    <n v="10.6"/>
    <s v="3,36-3,46"/>
    <s v="pvc"/>
    <m/>
    <m/>
    <x v="2"/>
  </r>
  <r>
    <n v="2"/>
    <s v="210/II   "/>
    <s v="210   "/>
    <x v="2"/>
    <n v="10.5"/>
    <s v="3,36-3,46"/>
    <s v="pvc"/>
    <m/>
    <m/>
    <x v="2"/>
  </r>
  <r>
    <n v="2"/>
    <s v="211/II  "/>
    <s v="211   "/>
    <x v="2"/>
    <n v="10.6"/>
    <s v="3,36-3,46"/>
    <s v="pvc"/>
    <m/>
    <m/>
    <x v="2"/>
  </r>
  <r>
    <n v="2"/>
    <s v="212/II  "/>
    <s v="212   "/>
    <x v="2"/>
    <n v="10.199999999999999"/>
    <s v="3,34-3,46"/>
    <s v="pvc"/>
    <m/>
    <m/>
    <x v="2"/>
  </r>
  <r>
    <n v="2"/>
    <s v="213/II   "/>
    <s v="213   "/>
    <x v="2"/>
    <n v="16.3"/>
    <s v="3,27-3,47"/>
    <s v="koberec"/>
    <m/>
    <m/>
    <x v="2"/>
  </r>
  <r>
    <n v="2"/>
    <s v="214/II   "/>
    <s v="214   "/>
    <x v="2"/>
    <n v="16.8"/>
    <s v="3,27-3,47"/>
    <s v="pvc"/>
    <m/>
    <m/>
    <x v="2"/>
  </r>
  <r>
    <n v="2"/>
    <s v="215/II   "/>
    <s v="215   "/>
    <x v="2"/>
    <n v="16.5"/>
    <s v="3,27-3,47"/>
    <s v="pvc"/>
    <m/>
    <m/>
    <x v="2"/>
  </r>
  <r>
    <n v="2"/>
    <s v="216/II   "/>
    <s v="216   "/>
    <x v="4"/>
    <n v="52.7"/>
    <s v="3,27-3,47"/>
    <s v="pvc"/>
    <m/>
    <m/>
    <x v="0"/>
  </r>
  <r>
    <n v="2"/>
    <s v="217/II   "/>
    <s v="217   "/>
    <x v="2"/>
    <n v="17.399999999999999"/>
    <s v="3,27-3,47"/>
    <s v="koberec"/>
    <m/>
    <m/>
    <x v="2"/>
  </r>
  <r>
    <n v="2"/>
    <s v="218/II   "/>
    <s v="218   "/>
    <x v="4"/>
    <n v="52.7"/>
    <s v="3,27-3,47"/>
    <s v="pvc"/>
    <m/>
    <m/>
    <x v="0"/>
  </r>
  <r>
    <n v="2"/>
    <s v="219/II   "/>
    <s v="219   "/>
    <x v="2"/>
    <n v="16.399999999999999"/>
    <s v="3,27-3,47"/>
    <s v="pvc"/>
    <m/>
    <m/>
    <x v="2"/>
  </r>
  <r>
    <n v="2"/>
    <s v="220/II   "/>
    <s v="220   "/>
    <x v="4"/>
    <n v="52.4"/>
    <s v="3,27-3,47"/>
    <s v="pvc"/>
    <m/>
    <m/>
    <x v="0"/>
  </r>
  <r>
    <n v="2"/>
    <s v="290/II   "/>
    <m/>
    <x v="6"/>
    <n v="19.600000000000001"/>
    <n v="5.87"/>
    <s v="pvc"/>
    <m/>
    <m/>
    <x v="0"/>
  </r>
  <r>
    <n v="2"/>
    <s v="291/II   "/>
    <m/>
    <x v="7"/>
    <n v="108.6"/>
    <s v="3,21-3,29(2,86)"/>
    <s v="pvc"/>
    <m/>
    <m/>
    <x v="0"/>
  </r>
  <r>
    <n v="3"/>
    <s v="201/III   "/>
    <m/>
    <x v="0"/>
    <n v="8.6999999999999993"/>
    <s v="3,34-3,46"/>
    <s v="keramická dl."/>
    <s v="obklad 1,98"/>
    <m/>
    <x v="0"/>
  </r>
  <r>
    <n v="3"/>
    <s v="202/III   "/>
    <m/>
    <x v="1"/>
    <n v="2.2999999999999998"/>
    <s v="3,35(4,49)"/>
    <s v="keramická dl."/>
    <m/>
    <m/>
    <x v="1"/>
  </r>
  <r>
    <n v="3"/>
    <s v="203/III   "/>
    <m/>
    <x v="0"/>
    <n v="8.4"/>
    <s v="3,34-3,46"/>
    <s v="keramická dl."/>
    <s v="obklad 1,98"/>
    <m/>
    <x v="0"/>
  </r>
  <r>
    <n v="3"/>
    <s v="204/III   "/>
    <s v="204   "/>
    <x v="2"/>
    <n v="10.3"/>
    <s v="3,34-3,46"/>
    <s v="pvc"/>
    <m/>
    <m/>
    <x v="2"/>
  </r>
  <r>
    <n v="3"/>
    <s v="207/III   "/>
    <s v="207   "/>
    <x v="2"/>
    <n v="21.3"/>
    <s v="3,34-3,46"/>
    <s v="pvc"/>
    <m/>
    <m/>
    <x v="2"/>
  </r>
  <r>
    <n v="3"/>
    <s v="205/III   "/>
    <s v="205"/>
    <x v="2"/>
    <n v="10.6"/>
    <s v="3,34-3,46"/>
    <s v="koberec"/>
    <m/>
    <m/>
    <x v="2"/>
  </r>
  <r>
    <n v="3"/>
    <s v="208/III   "/>
    <s v="208   "/>
    <x v="2"/>
    <n v="10.8"/>
    <s v="3,34-3,46"/>
    <s v="pvc"/>
    <m/>
    <m/>
    <x v="2"/>
  </r>
  <r>
    <n v="3"/>
    <s v="209/III   "/>
    <s v="209   "/>
    <x v="2"/>
    <n v="10.5"/>
    <s v="3,34-3,46"/>
    <s v="pvc"/>
    <m/>
    <m/>
    <x v="2"/>
  </r>
  <r>
    <n v="3"/>
    <s v="210/III   "/>
    <s v="210   "/>
    <x v="2"/>
    <n v="10.7"/>
    <s v="3,34-3,46"/>
    <s v="pvc"/>
    <m/>
    <m/>
    <x v="2"/>
  </r>
  <r>
    <n v="3"/>
    <s v="211/III   "/>
    <s v="211   "/>
    <x v="2"/>
    <n v="10.6"/>
    <s v="3,34-3,46"/>
    <s v="koberec"/>
    <m/>
    <m/>
    <x v="2"/>
  </r>
  <r>
    <n v="3"/>
    <s v="212/III   "/>
    <s v="212   "/>
    <x v="2"/>
    <n v="10.6"/>
    <s v="3,34-3,44"/>
    <s v="pvc"/>
    <m/>
    <m/>
    <x v="2"/>
  </r>
  <r>
    <n v="3"/>
    <s v="213/III   "/>
    <s v="213   "/>
    <x v="2"/>
    <n v="10.3"/>
    <s v="3,34-3,46"/>
    <s v="pvc"/>
    <m/>
    <m/>
    <x v="2"/>
  </r>
  <r>
    <n v="3"/>
    <s v="214/III   "/>
    <s v="214   "/>
    <x v="4"/>
    <n v="52.3"/>
    <s v="3,27-3,44"/>
    <s v="pvc"/>
    <m/>
    <m/>
    <x v="0"/>
  </r>
  <r>
    <n v="3"/>
    <s v="215a/III   "/>
    <s v="215a   "/>
    <x v="4"/>
    <n v="18.2"/>
    <s v="3,27-3,44"/>
    <s v="pvc"/>
    <m/>
    <m/>
    <x v="0"/>
  </r>
  <r>
    <n v="3"/>
    <s v="215/III   "/>
    <n v="215"/>
    <x v="4"/>
    <n v="34.4"/>
    <s v="3,27-3,44"/>
    <s v="koberec"/>
    <m/>
    <m/>
    <x v="0"/>
  </r>
  <r>
    <n v="3"/>
    <s v="216/III   "/>
    <s v="216   "/>
    <x v="2"/>
    <n v="17"/>
    <s v="3,27-3,44"/>
    <s v="koberec"/>
    <m/>
    <m/>
    <x v="2"/>
  </r>
  <r>
    <n v="3"/>
    <s v="217/III   "/>
    <s v="217   "/>
    <x v="2"/>
    <n v="18.100000000000001"/>
    <s v="3,27-3,44"/>
    <s v="koberec"/>
    <m/>
    <m/>
    <x v="2"/>
  </r>
  <r>
    <n v="3"/>
    <s v="218/III   "/>
    <n v="218"/>
    <x v="2"/>
    <n v="17.399999999999999"/>
    <s v="3,27-3,44"/>
    <s v="koberec"/>
    <m/>
    <m/>
    <x v="2"/>
  </r>
  <r>
    <n v="3"/>
    <s v="219/III   "/>
    <n v="219"/>
    <x v="2"/>
    <n v="17.3"/>
    <s v="3,27-3,44"/>
    <s v="koberec"/>
    <m/>
    <m/>
    <x v="2"/>
  </r>
  <r>
    <n v="3"/>
    <s v="220/III   "/>
    <s v="220/III"/>
    <x v="4"/>
    <n v="70.8"/>
    <s v="3,27-3,44"/>
    <s v="pvc"/>
    <m/>
    <m/>
    <x v="0"/>
  </r>
  <r>
    <n v="3"/>
    <s v="290/III   "/>
    <m/>
    <x v="6"/>
    <n v="19.399999999999999"/>
    <n v="5.83"/>
    <s v="pvc"/>
    <m/>
    <m/>
    <x v="0"/>
  </r>
  <r>
    <n v="3"/>
    <s v="291/III   "/>
    <m/>
    <x v="7"/>
    <n v="108.6"/>
    <s v="3,25-3,30(2,89)"/>
    <s v="pvc"/>
    <m/>
    <m/>
    <x v="0"/>
  </r>
</pivotCacheRecords>
</file>

<file path=xl/pivotCache/pivotCacheRecords23.xml><?xml version="1.0" encoding="utf-8"?>
<pivotCacheRecords xmlns="http://schemas.openxmlformats.org/spreadsheetml/2006/main" xmlns:r="http://schemas.openxmlformats.org/officeDocument/2006/relationships" count="127">
  <r>
    <s v="0.01"/>
    <x v="0"/>
    <n v="12.74"/>
    <n v="3200"/>
    <s v="dlažba keramická"/>
    <m/>
    <s v="SDK podhled"/>
    <x v="0"/>
  </r>
  <r>
    <s v="0.01a"/>
    <x v="1"/>
    <n v="11.88"/>
    <n v="3000"/>
    <s v="dlažba keramická"/>
    <s v="obklad ker. 2,02m"/>
    <s v="SDK podhled"/>
    <x v="0"/>
  </r>
  <r>
    <s v="0.01b"/>
    <x v="2"/>
    <n v="6.03"/>
    <n v="3390"/>
    <s v="dlažba keramická"/>
    <m/>
    <m/>
    <x v="1"/>
  </r>
  <r>
    <s v="0.02"/>
    <x v="3"/>
    <n v="16.850000000000001"/>
    <n v="3390"/>
    <s v="PVC"/>
    <m/>
    <m/>
    <x v="2"/>
  </r>
  <r>
    <s v="0.03a"/>
    <x v="3"/>
    <n v="16.850000000000001"/>
    <n v="3390"/>
    <s v="PVC"/>
    <m/>
    <m/>
    <x v="2"/>
  </r>
  <r>
    <s v="0.03b"/>
    <x v="3"/>
    <n v="15.63"/>
    <n v="3390"/>
    <s v="PVC"/>
    <m/>
    <m/>
    <x v="2"/>
  </r>
  <r>
    <s v="0.04"/>
    <x v="4"/>
    <n v="32.18"/>
    <n v="3390"/>
    <s v="PVC"/>
    <m/>
    <m/>
    <x v="2"/>
  </r>
  <r>
    <s v="0.04a"/>
    <x v="5"/>
    <n v="15.93"/>
    <n v="3390"/>
    <s v="PVC"/>
    <m/>
    <m/>
    <x v="3"/>
  </r>
  <r>
    <s v="0.05"/>
    <x v="6"/>
    <n v="48.77"/>
    <n v="3420"/>
    <s v="stěrka"/>
    <s v="obklad ker. 2,02m"/>
    <m/>
    <x v="0"/>
  </r>
  <r>
    <s v="0.06"/>
    <x v="7"/>
    <n v="51.07"/>
    <n v="3150"/>
    <s v="PVC"/>
    <m/>
    <s v="kazetový podhled"/>
    <x v="0"/>
  </r>
  <r>
    <s v="0.07"/>
    <x v="8"/>
    <n v="40.1"/>
    <s v="6120-6300"/>
    <s v="dlažba keramická"/>
    <s v="obklad ker. 2,80m"/>
    <m/>
    <x v="4"/>
  </r>
  <r>
    <s v="0.07a"/>
    <x v="9"/>
    <n v="14.7"/>
    <n v="2620"/>
    <s v="dlažba keramická"/>
    <s v="obklad ker. 2,62m"/>
    <m/>
    <x v="4"/>
  </r>
  <r>
    <s v="0.07b"/>
    <x v="10"/>
    <n v="22.2"/>
    <n v="2610"/>
    <s v="dlažba keramická"/>
    <s v="obklad ker. 2,61m"/>
    <m/>
    <x v="4"/>
  </r>
  <r>
    <s v="0.07c"/>
    <x v="11"/>
    <n v="17.5"/>
    <s v="6120-6130"/>
    <s v="dlažba keramická"/>
    <s v="obklad ker. 1,60m"/>
    <m/>
    <x v="4"/>
  </r>
  <r>
    <s v="0.07d"/>
    <x v="12"/>
    <n v="4.5999999999999996"/>
    <n v="2740"/>
    <s v="dlažba keramická"/>
    <s v="obklad ker. 2,74m"/>
    <m/>
    <x v="4"/>
  </r>
  <r>
    <s v="0.07e"/>
    <x v="13"/>
    <n v="52"/>
    <s v="3090-3400"/>
    <s v="dlažba keramická"/>
    <m/>
    <m/>
    <x v="4"/>
  </r>
  <r>
    <s v="0.07f"/>
    <x v="13"/>
    <n v="17.47"/>
    <n v="2850"/>
    <s v="dlažba keramická"/>
    <m/>
    <m/>
    <x v="4"/>
  </r>
  <r>
    <s v="0.08"/>
    <x v="14"/>
    <n v="15.44"/>
    <n v="2850"/>
    <s v="laminát"/>
    <s v="stěrka"/>
    <s v="SDK podhled"/>
    <x v="5"/>
  </r>
  <r>
    <s v="0.09"/>
    <x v="15"/>
    <n v="384.7"/>
    <n v="6550"/>
    <s v="stěrka"/>
    <m/>
    <m/>
    <x v="1"/>
  </r>
  <r>
    <s v="0.09a"/>
    <x v="16"/>
    <n v="21.63"/>
    <n v="2780"/>
    <s v="stěrka"/>
    <m/>
    <s v="plechový strop"/>
    <x v="4"/>
  </r>
  <r>
    <s v="0.09b"/>
    <x v="16"/>
    <n v="34.5"/>
    <n v="2780"/>
    <s v="stěrka"/>
    <m/>
    <s v="plechový strop"/>
    <x v="4"/>
  </r>
  <r>
    <s v="0.10"/>
    <x v="15"/>
    <n v="279.49"/>
    <n v="6550"/>
    <s v="stěrka"/>
    <m/>
    <m/>
    <x v="5"/>
  </r>
  <r>
    <s v="0.10a"/>
    <x v="17"/>
    <n v="10.54"/>
    <n v="2920"/>
    <s v="stěrka"/>
    <m/>
    <s v="plechový strop"/>
    <x v="3"/>
  </r>
  <r>
    <s v="0.11"/>
    <x v="18"/>
    <n v="19.04"/>
    <n v="2930"/>
    <s v="PVC"/>
    <m/>
    <s v="plechový strop"/>
    <x v="1"/>
  </r>
  <r>
    <s v="0.12"/>
    <x v="19"/>
    <n v="18.2"/>
    <n v="2910"/>
    <s v="PVC"/>
    <m/>
    <s v="plechový strop"/>
    <x v="5"/>
  </r>
  <r>
    <s v="0.13"/>
    <x v="15"/>
    <n v="261.75"/>
    <n v="6550"/>
    <s v="stěrka"/>
    <m/>
    <m/>
    <x v="5"/>
  </r>
  <r>
    <s v="0.13a"/>
    <x v="16"/>
    <n v="11.63"/>
    <n v="2680"/>
    <s v="PVC"/>
    <m/>
    <s v="plechový strop"/>
    <x v="4"/>
  </r>
  <r>
    <s v="0.13b"/>
    <x v="16"/>
    <n v="17.57"/>
    <n v="2680"/>
    <s v="PVC"/>
    <m/>
    <s v="plechový strop"/>
    <x v="4"/>
  </r>
  <r>
    <s v="0.13f"/>
    <x v="14"/>
    <n v="5.76"/>
    <n v="2660"/>
    <s v="PVC"/>
    <m/>
    <m/>
    <x v="5"/>
  </r>
  <r>
    <s v="0.14"/>
    <x v="16"/>
    <n v="17.93"/>
    <n v="2660"/>
    <s v="PVC"/>
    <m/>
    <s v="plechový strop"/>
    <x v="4"/>
  </r>
  <r>
    <s v="0.15"/>
    <x v="15"/>
    <n v="129.25"/>
    <n v="6550"/>
    <s v="stěrka"/>
    <m/>
    <m/>
    <x v="5"/>
  </r>
  <r>
    <s v="0.15a"/>
    <x v="20"/>
    <n v="9.35"/>
    <n v="3060"/>
    <s v="stěrka"/>
    <m/>
    <m/>
    <x v="2"/>
  </r>
  <r>
    <s v="0.15b"/>
    <x v="20"/>
    <n v="16.149999999999999"/>
    <n v="3070"/>
    <s v="stěrka"/>
    <m/>
    <m/>
    <x v="2"/>
  </r>
  <r>
    <s v="0.15c"/>
    <x v="21"/>
    <n v="7.37"/>
    <n v="3080"/>
    <s v="stěrka"/>
    <m/>
    <m/>
    <x v="1"/>
  </r>
  <r>
    <s v="0.15d"/>
    <x v="16"/>
    <n v="4.01"/>
    <n v="3090"/>
    <s v="stěrka"/>
    <m/>
    <m/>
    <x v="4"/>
  </r>
  <r>
    <s v="0.15e"/>
    <x v="20"/>
    <n v="39.450000000000003"/>
    <n v="3100"/>
    <s v="stěrka"/>
    <m/>
    <m/>
    <x v="2"/>
  </r>
  <r>
    <s v="0.16"/>
    <x v="15"/>
    <n v="324.77999999999997"/>
    <n v="6550"/>
    <s v="stěrka"/>
    <m/>
    <m/>
    <x v="5"/>
  </r>
  <r>
    <s v="0.17 a,b,c."/>
    <x v="22"/>
    <n v="74.260000000000005"/>
    <n v="3400"/>
    <s v="stěrka"/>
    <m/>
    <m/>
    <x v="2"/>
  </r>
  <r>
    <s v="0.17a"/>
    <x v="23"/>
    <n v="49.13"/>
    <n v="3520"/>
    <s v="stěrka"/>
    <m/>
    <m/>
    <x v="2"/>
  </r>
  <r>
    <s v="0.17b"/>
    <x v="16"/>
    <n v="6.79"/>
    <n v="3400"/>
    <s v="PVC"/>
    <m/>
    <m/>
    <x v="2"/>
  </r>
  <r>
    <s v="0.18"/>
    <x v="24"/>
    <n v="31.8"/>
    <n v="3380"/>
    <s v="stěrka"/>
    <m/>
    <m/>
    <x v="2"/>
  </r>
  <r>
    <s v="0.19"/>
    <x v="24"/>
    <n v="47.7"/>
    <n v="3390"/>
    <s v="antistatické PVC"/>
    <s v="bezprašná malba"/>
    <s v="bezprašná malba"/>
    <x v="4"/>
  </r>
  <r>
    <s v="0.20"/>
    <x v="25"/>
    <n v="31.24"/>
    <n v="3400"/>
    <s v="stěrka"/>
    <m/>
    <m/>
    <x v="5"/>
  </r>
  <r>
    <s v="0.21"/>
    <x v="26"/>
    <n v="15.55"/>
    <n v="3400"/>
    <s v="PVC"/>
    <m/>
    <m/>
    <x v="2"/>
  </r>
  <r>
    <s v="0.22"/>
    <x v="20"/>
    <n v="32.619999999999997"/>
    <n v="3200"/>
    <s v="PVC"/>
    <m/>
    <s v="kazetový podhled"/>
    <x v="2"/>
  </r>
  <r>
    <s v="0.23"/>
    <x v="0"/>
    <n v="12.48"/>
    <n v="3200"/>
    <s v="dlažba keramická"/>
    <m/>
    <s v="SDK podhled"/>
    <x v="0"/>
  </r>
  <r>
    <s v="0.23a"/>
    <x v="1"/>
    <n v="11.68"/>
    <n v="3000"/>
    <s v="dlažba keramická"/>
    <s v="obklad ker. 2,02m"/>
    <s v="SDK podhled"/>
    <x v="0"/>
  </r>
  <r>
    <s v="0.23b"/>
    <x v="2"/>
    <n v="5.96"/>
    <n v="3200"/>
    <s v="dlažba keramická"/>
    <m/>
    <s v="SDK podhled"/>
    <x v="1"/>
  </r>
  <r>
    <s v="0.24"/>
    <x v="20"/>
    <n v="15.63"/>
    <n v="3200"/>
    <s v="PVC"/>
    <m/>
    <s v="kazetový podhled"/>
    <x v="2"/>
  </r>
  <r>
    <s v="0.24a"/>
    <x v="3"/>
    <n v="22.35"/>
    <n v="3200"/>
    <s v="PVC"/>
    <m/>
    <s v="kazetový podhled"/>
    <x v="2"/>
  </r>
  <r>
    <s v="0.24b"/>
    <x v="27"/>
    <n v="8.5299999999999994"/>
    <n v="3200"/>
    <s v="PVC"/>
    <m/>
    <s v="kazetový podhled"/>
    <x v="4"/>
  </r>
  <r>
    <s v="0.25"/>
    <x v="20"/>
    <n v="32"/>
    <n v="3200"/>
    <s v="PVC"/>
    <m/>
    <s v="kazetový podhled"/>
    <x v="2"/>
  </r>
  <r>
    <s v="0.26"/>
    <x v="20"/>
    <n v="48.19"/>
    <n v="3200"/>
    <s v="stěrka"/>
    <m/>
    <s v="kazetový podhled"/>
    <x v="2"/>
  </r>
  <r>
    <s v="0.27"/>
    <x v="20"/>
    <n v="15.58"/>
    <n v="3200"/>
    <s v="PVC"/>
    <m/>
    <s v="kazetový podhled"/>
    <x v="2"/>
  </r>
  <r>
    <s v="0.28"/>
    <x v="20"/>
    <n v="31.15"/>
    <n v="3200"/>
    <s v="stěrka"/>
    <m/>
    <s v="kazetový podhled"/>
    <x v="2"/>
  </r>
  <r>
    <s v="0.28a"/>
    <x v="16"/>
    <n v="15.5"/>
    <n v="3200"/>
    <s v="stěrka"/>
    <m/>
    <s v="kazetový podhled"/>
    <x v="4"/>
  </r>
  <r>
    <s v="0.29"/>
    <x v="20"/>
    <n v="15.73"/>
    <n v="3200"/>
    <s v="dlažba keramická"/>
    <m/>
    <s v="kazetový podhled"/>
    <x v="2"/>
  </r>
  <r>
    <s v="0.29a"/>
    <x v="28"/>
    <n v="12.11"/>
    <n v="3000"/>
    <s v="dlažba keramická"/>
    <s v="obklad ker. 2,02m"/>
    <s v="SDK podhled"/>
    <x v="0"/>
  </r>
  <r>
    <s v="0.29b"/>
    <x v="29"/>
    <n v="9.98"/>
    <n v="3000"/>
    <s v="dlažba keramická"/>
    <s v="obklad ker. 2,02m"/>
    <s v="SDK podhled"/>
    <x v="0"/>
  </r>
  <r>
    <s v="0.30"/>
    <x v="2"/>
    <n v="5.81"/>
    <n v="3400"/>
    <s v="dlažba keramická"/>
    <m/>
    <m/>
    <x v="1"/>
  </r>
  <r>
    <s v="0.31"/>
    <x v="17"/>
    <n v="32.229999999999997"/>
    <n v="3400"/>
    <s v="stěrka"/>
    <m/>
    <m/>
    <x v="3"/>
  </r>
  <r>
    <s v="0.32"/>
    <x v="5"/>
    <n v="32.04"/>
    <n v="3390"/>
    <s v="PVC"/>
    <m/>
    <m/>
    <x v="1"/>
  </r>
  <r>
    <s v="0.34a"/>
    <x v="7"/>
    <n v="48.43"/>
    <n v="3150"/>
    <s v="PVC"/>
    <m/>
    <s v="kazetový podhled"/>
    <x v="0"/>
  </r>
  <r>
    <s v="0.34b"/>
    <x v="7"/>
    <n v="65.209999999999994"/>
    <n v="3150"/>
    <s v="stěrka"/>
    <m/>
    <s v="kazetový podhled"/>
    <x v="0"/>
  </r>
  <r>
    <s v="0.35"/>
    <x v="3"/>
    <n v="13.46"/>
    <n v="3410"/>
    <s v="PVC"/>
    <m/>
    <m/>
    <x v="2"/>
  </r>
  <r>
    <s v="0.36"/>
    <x v="17"/>
    <n v="32.28"/>
    <n v="3410"/>
    <s v="stěrka"/>
    <m/>
    <m/>
    <x v="3"/>
  </r>
  <r>
    <s v="0.37"/>
    <x v="17"/>
    <n v="31.8"/>
    <n v="3390"/>
    <s v="stěrka"/>
    <m/>
    <m/>
    <x v="3"/>
  </r>
  <r>
    <s v="0.38"/>
    <x v="7"/>
    <n v="68.02"/>
    <n v="3150"/>
    <s v="PVC"/>
    <m/>
    <s v="kazetový podhled"/>
    <x v="0"/>
  </r>
  <r>
    <s v="0.38a"/>
    <x v="30"/>
    <n v="17.59"/>
    <n v="3370"/>
    <s v="dlažba keramická"/>
    <m/>
    <m/>
    <x v="1"/>
  </r>
  <r>
    <s v="0.39"/>
    <x v="7"/>
    <n v="48.42"/>
    <n v="3150"/>
    <s v="PVC"/>
    <m/>
    <s v="kazetový podhled"/>
    <x v="0"/>
  </r>
  <r>
    <s v="0.40"/>
    <x v="31"/>
    <n v="48.77"/>
    <n v="3150"/>
    <s v="PVC"/>
    <m/>
    <s v="kazetový podhled"/>
    <x v="0"/>
  </r>
  <r>
    <s v="0.40a"/>
    <x v="32"/>
    <n v="11.9"/>
    <n v="3370"/>
    <s v="PVC"/>
    <m/>
    <m/>
    <x v="1"/>
  </r>
  <r>
    <s v="0.41a"/>
    <x v="33"/>
    <n v="1.53"/>
    <n v="3370"/>
    <s v="dlažba keramická"/>
    <s v="obklad ker. 2,02m"/>
    <m/>
    <x v="1"/>
  </r>
  <r>
    <s v="0.41b"/>
    <x v="29"/>
    <n v="9.84"/>
    <n v="3000"/>
    <s v="dlažba keramická"/>
    <s v="obklad ker. 2,02m"/>
    <s v="SDK podhled"/>
    <x v="0"/>
  </r>
  <r>
    <s v="0.41c"/>
    <x v="28"/>
    <n v="5.48"/>
    <n v="3000"/>
    <s v="dlažba keramická"/>
    <s v="obklad ker. 2,02m"/>
    <s v="SDK podhled"/>
    <x v="0"/>
  </r>
  <r>
    <s v="0.42a"/>
    <x v="17"/>
    <n v="15.66"/>
    <n v="3360"/>
    <s v="stěrka"/>
    <m/>
    <m/>
    <x v="3"/>
  </r>
  <r>
    <s v="0.42b"/>
    <x v="20"/>
    <n v="19.39"/>
    <n v="3360"/>
    <s v="PVC"/>
    <m/>
    <m/>
    <x v="2"/>
  </r>
  <r>
    <s v="0.43a"/>
    <x v="3"/>
    <n v="32.44"/>
    <n v="3370"/>
    <s v="PVC"/>
    <m/>
    <m/>
    <x v="2"/>
  </r>
  <r>
    <s v="0.43b"/>
    <x v="3"/>
    <n v="16.100000000000001"/>
    <n v="3370"/>
    <s v="PVC"/>
    <m/>
    <m/>
    <x v="2"/>
  </r>
  <r>
    <s v="0.44"/>
    <x v="3"/>
    <n v="15.17"/>
    <n v="3370"/>
    <s v="PVC"/>
    <m/>
    <m/>
    <x v="2"/>
  </r>
  <r>
    <s v="0.45"/>
    <x v="20"/>
    <n v="34.409999999999997"/>
    <n v="3370"/>
    <s v="PVC"/>
    <m/>
    <m/>
    <x v="5"/>
  </r>
  <r>
    <s v="0.45a"/>
    <x v="3"/>
    <n v="16.309999999999999"/>
    <n v="3370"/>
    <s v="PVC"/>
    <m/>
    <m/>
    <x v="2"/>
  </r>
  <r>
    <s v="0.48"/>
    <x v="34"/>
    <n v="14.8"/>
    <n v="3320"/>
    <s v="stěrka"/>
    <m/>
    <m/>
    <x v="2"/>
  </r>
  <r>
    <s v="0.49"/>
    <x v="20"/>
    <n v="34.67"/>
    <n v="3320"/>
    <s v="stěrka"/>
    <m/>
    <m/>
    <x v="5"/>
  </r>
  <r>
    <s v="0.50"/>
    <x v="21"/>
    <n v="31.2"/>
    <n v="3320"/>
    <s v="PVC"/>
    <m/>
    <m/>
    <x v="3"/>
  </r>
  <r>
    <s v="0.51"/>
    <x v="35"/>
    <n v="31.8"/>
    <n v="3320"/>
    <s v="stěrka"/>
    <m/>
    <m/>
    <x v="5"/>
  </r>
  <r>
    <s v="0.52"/>
    <x v="21"/>
    <n v="14.73"/>
    <n v="3300"/>
    <s v="PVC"/>
    <m/>
    <m/>
    <x v="3"/>
  </r>
  <r>
    <s v="0.53"/>
    <x v="35"/>
    <n v="18.29"/>
    <n v="3230"/>
    <s v="stěrka"/>
    <m/>
    <m/>
    <x v="2"/>
  </r>
  <r>
    <s v="0.53a"/>
    <x v="16"/>
    <n v="17.02"/>
    <n v="3360"/>
    <s v="teraco"/>
    <m/>
    <m/>
    <x v="4"/>
  </r>
  <r>
    <s v="0.54"/>
    <x v="7"/>
    <n v="48.76"/>
    <n v="3150"/>
    <s v="PVC"/>
    <m/>
    <s v="kazetový podhled"/>
    <x v="0"/>
  </r>
  <r>
    <s v="0.55"/>
    <x v="3"/>
    <n v="32.5"/>
    <n v="3370"/>
    <s v="PVC"/>
    <m/>
    <m/>
    <x v="2"/>
  </r>
  <r>
    <s v="0.56"/>
    <x v="20"/>
    <n v="32.11"/>
    <n v="3410"/>
    <s v="stěrka"/>
    <m/>
    <m/>
    <x v="2"/>
  </r>
  <r>
    <s v="0.57"/>
    <x v="3"/>
    <n v="35.67"/>
    <n v="3400"/>
    <s v="PVC"/>
    <m/>
    <m/>
    <x v="2"/>
  </r>
  <r>
    <s v="0.58"/>
    <x v="3"/>
    <n v="15.52"/>
    <n v="3400"/>
    <s v="PVC"/>
    <m/>
    <m/>
    <x v="2"/>
  </r>
  <r>
    <s v="0.59"/>
    <x v="3"/>
    <n v="15.15"/>
    <n v="3400"/>
    <s v="PVC"/>
    <m/>
    <m/>
    <x v="2"/>
  </r>
  <r>
    <s v="0.60"/>
    <x v="20"/>
    <n v="31.87"/>
    <n v="3400"/>
    <s v="PVC"/>
    <m/>
    <m/>
    <x v="2"/>
  </r>
  <r>
    <s v="0.61"/>
    <x v="3"/>
    <n v="15.48"/>
    <n v="3400"/>
    <s v="PVC"/>
    <m/>
    <m/>
    <x v="2"/>
  </r>
  <r>
    <s v="0.62"/>
    <x v="3"/>
    <n v="15.52"/>
    <n v="3400"/>
    <s v="PVC"/>
    <m/>
    <m/>
    <x v="2"/>
  </r>
  <r>
    <s v="0.63"/>
    <x v="3"/>
    <n v="18.53"/>
    <n v="3390"/>
    <s v="PVC"/>
    <m/>
    <m/>
    <x v="2"/>
  </r>
  <r>
    <s v="0.64"/>
    <x v="16"/>
    <n v="18.72"/>
    <n v="3360"/>
    <s v="stěrka"/>
    <m/>
    <m/>
    <x v="4"/>
  </r>
  <r>
    <s v="0.65"/>
    <x v="17"/>
    <n v="32.07"/>
    <n v="3360"/>
    <s v="stěrka"/>
    <m/>
    <m/>
    <x v="3"/>
  </r>
  <r>
    <s v="0.66"/>
    <x v="3"/>
    <n v="15.31"/>
    <n v="3360"/>
    <s v="PVC"/>
    <m/>
    <m/>
    <x v="2"/>
  </r>
  <r>
    <s v="0.67"/>
    <x v="17"/>
    <n v="31.69"/>
    <n v="3380"/>
    <s v="PVC"/>
    <m/>
    <m/>
    <x v="3"/>
  </r>
  <r>
    <s v="0.68"/>
    <x v="3"/>
    <n v="15.63"/>
    <n v="3380"/>
    <s v="PVC"/>
    <m/>
    <m/>
    <x v="2"/>
  </r>
  <r>
    <s v="0.69"/>
    <x v="20"/>
    <n v="35.67"/>
    <n v="3380"/>
    <s v="stěrka"/>
    <m/>
    <m/>
    <x v="2"/>
  </r>
  <r>
    <s v="0.70a"/>
    <x v="29"/>
    <n v="7.59"/>
    <n v="3000"/>
    <s v="dlažba keramická"/>
    <s v="obklad ker. 2,02m"/>
    <s v="SDK podhled"/>
    <x v="0"/>
  </r>
  <r>
    <s v="0.70b"/>
    <x v="33"/>
    <n v="2.13"/>
    <m/>
    <s v="dlažba keramická"/>
    <s v="obklad ker. 2,02m"/>
    <m/>
    <x v="1"/>
  </r>
  <r>
    <s v="0.70c"/>
    <x v="28"/>
    <n v="5.55"/>
    <n v="3000"/>
    <s v="dlažba keramická"/>
    <s v="obklad ker. 2,02m"/>
    <s v="SDK podhled"/>
    <x v="0"/>
  </r>
  <r>
    <s v="0.71"/>
    <x v="36"/>
    <n v="12.39"/>
    <n v="3390"/>
    <s v="stěrka"/>
    <m/>
    <m/>
    <x v="4"/>
  </r>
  <r>
    <s v="0.72"/>
    <x v="37"/>
    <n v="17.28"/>
    <n v="3390"/>
    <s v="dlažba kyselinovzd."/>
    <m/>
    <m/>
    <x v="2"/>
  </r>
  <r>
    <s v="0.73"/>
    <x v="20"/>
    <n v="49.13"/>
    <n v="3390"/>
    <s v="dlažba keramická"/>
    <m/>
    <m/>
    <x v="2"/>
  </r>
  <r>
    <s v="0.74"/>
    <x v="38"/>
    <n v="31.97"/>
    <n v="3390"/>
    <s v="žáruvzdor. dlažba"/>
    <m/>
    <m/>
    <x v="5"/>
  </r>
  <r>
    <s v="0.75"/>
    <x v="20"/>
    <n v="35.67"/>
    <n v="3390"/>
    <s v="PVC"/>
    <m/>
    <m/>
    <x v="2"/>
  </r>
  <r>
    <s v="0.76"/>
    <x v="17"/>
    <n v="48.08"/>
    <n v="3390"/>
    <s v="stěrka"/>
    <m/>
    <m/>
    <x v="3"/>
  </r>
  <r>
    <s v="0.77"/>
    <x v="7"/>
    <n v="31.52"/>
    <n v="3390"/>
    <s v="stěrka"/>
    <m/>
    <m/>
    <x v="0"/>
  </r>
  <r>
    <s v="0.78"/>
    <x v="20"/>
    <n v="34.25"/>
    <n v="3390"/>
    <s v="stěrka"/>
    <m/>
    <m/>
    <x v="2"/>
  </r>
  <r>
    <s v="0.79"/>
    <x v="39"/>
    <n v="259.05"/>
    <n v="3095"/>
    <s v="dlažba keramická"/>
    <m/>
    <s v="kazetový podhled"/>
    <x v="0"/>
  </r>
  <r>
    <s v="0.79a"/>
    <x v="2"/>
    <n v="1.46"/>
    <n v="3050"/>
    <s v="dlažba keramická"/>
    <m/>
    <m/>
    <x v="1"/>
  </r>
  <r>
    <s v="0.79b"/>
    <x v="2"/>
    <n v="1.46"/>
    <n v="3050"/>
    <s v="dlažba keramická"/>
    <m/>
    <m/>
    <x v="1"/>
  </r>
  <r>
    <s v="0.79c"/>
    <x v="2"/>
    <n v="1.46"/>
    <n v="3050"/>
    <s v="dlažba keramická"/>
    <m/>
    <m/>
    <x v="1"/>
  </r>
  <r>
    <s v="0.80"/>
    <x v="39"/>
    <n v="83.97"/>
    <n v="2950"/>
    <s v="dlažba keramická"/>
    <m/>
    <s v="kazetový podhled"/>
    <x v="0"/>
  </r>
  <r>
    <s v="0.81"/>
    <x v="39"/>
    <n v="87.78"/>
    <n v="2950"/>
    <s v="dlažba keramická"/>
    <m/>
    <s v="kazetový podhled"/>
    <x v="0"/>
  </r>
  <r>
    <s v="0.82"/>
    <x v="39"/>
    <n v="94.78"/>
    <n v="2950"/>
    <s v="dlažba keramická"/>
    <m/>
    <s v="kazetový podhled"/>
    <x v="0"/>
  </r>
  <r>
    <s v="0.83"/>
    <x v="39"/>
    <n v="83.57"/>
    <n v="2935"/>
    <s v="dlažba keramická"/>
    <m/>
    <s v="kazetový podhled"/>
    <x v="0"/>
  </r>
  <r>
    <s v="0.84"/>
    <x v="39"/>
    <n v="233"/>
    <n v="2937"/>
    <s v="dlažba keramická"/>
    <m/>
    <s v="kazetový podhled"/>
    <x v="0"/>
  </r>
  <r>
    <s v="0.85"/>
    <x v="40"/>
    <n v="4.43"/>
    <n v="3410"/>
    <s v="dlažba keramická"/>
    <m/>
    <m/>
    <x v="1"/>
  </r>
  <r>
    <s v="0.86"/>
    <x v="32"/>
    <n v="15.37"/>
    <n v="3390"/>
    <s v="PVC"/>
    <m/>
    <m/>
    <x v="1"/>
  </r>
</pivotCacheRecords>
</file>

<file path=xl/pivotCache/pivotCacheRecords24.xml><?xml version="1.0" encoding="utf-8"?>
<pivotCacheRecords xmlns="http://schemas.openxmlformats.org/spreadsheetml/2006/main" xmlns:r="http://schemas.openxmlformats.org/officeDocument/2006/relationships" count="19">
  <r>
    <s v="0.07g"/>
    <x v="0"/>
    <n v="57.41"/>
    <n v="3200"/>
    <s v="PVC"/>
    <m/>
    <m/>
    <x v="0"/>
  </r>
  <r>
    <s v="0.07h"/>
    <x v="1"/>
    <n v="3.18"/>
    <n v="2200"/>
    <s v="dlažba keramická"/>
    <m/>
    <m/>
    <x v="1"/>
  </r>
  <r>
    <s v="0.07i"/>
    <x v="2"/>
    <n v="64.58"/>
    <m/>
    <s v="laminát"/>
    <s v="stěrka"/>
    <s v="SDK podhled"/>
    <x v="2"/>
  </r>
  <r>
    <s v="0.07j"/>
    <x v="3"/>
    <n v="6.4"/>
    <n v="3150"/>
    <s v="dlažba keramická"/>
    <s v="obklad ker. 2,02m "/>
    <s v="SDK podhled"/>
    <x v="2"/>
  </r>
  <r>
    <s v="0.09c"/>
    <x v="4"/>
    <n v="60.75"/>
    <n v="2610"/>
    <s v="PVC"/>
    <m/>
    <s v="kazetový podhled"/>
    <x v="3"/>
  </r>
  <r>
    <s v="0.09d"/>
    <x v="5"/>
    <n v="40.630000000000003"/>
    <n v="2610"/>
    <s v="PVC"/>
    <m/>
    <s v="kazetový podhled"/>
    <x v="3"/>
  </r>
  <r>
    <s v="0.09e"/>
    <x v="6"/>
    <n v="7.05"/>
    <m/>
    <s v="ocel"/>
    <m/>
    <m/>
    <x v="1"/>
  </r>
  <r>
    <s v="0.09f"/>
    <x v="6"/>
    <n v="6.67"/>
    <m/>
    <s v="ocel"/>
    <m/>
    <m/>
    <x v="1"/>
  </r>
  <r>
    <s v="0.10b"/>
    <x v="6"/>
    <n v="8.5399999999999991"/>
    <m/>
    <s v="ocel"/>
    <m/>
    <m/>
    <x v="4"/>
  </r>
  <r>
    <s v="0.10c"/>
    <x v="7"/>
    <n v="46.13"/>
    <s v="2520-2530-2550"/>
    <s v="PVC"/>
    <m/>
    <s v="strop/SDK podhled"/>
    <x v="5"/>
  </r>
  <r>
    <s v="0.13c"/>
    <x v="7"/>
    <n v="12.82"/>
    <n v="2340"/>
    <s v="PVC"/>
    <m/>
    <m/>
    <x v="5"/>
  </r>
  <r>
    <s v="0.13d"/>
    <x v="7"/>
    <n v="21.53"/>
    <n v="2340"/>
    <s v="PVC"/>
    <m/>
    <m/>
    <x v="0"/>
  </r>
  <r>
    <s v="0.13e"/>
    <x v="8"/>
    <n v="14.3"/>
    <n v="2340"/>
    <s v="PVC"/>
    <m/>
    <m/>
    <x v="4"/>
  </r>
  <r>
    <s v="0.13g"/>
    <x v="9"/>
    <n v="23.15"/>
    <n v="2600"/>
    <s v="PVC"/>
    <m/>
    <s v="kazetový podhled"/>
    <x v="4"/>
  </r>
  <r>
    <s v="0.13h"/>
    <x v="10"/>
    <n v="39.340000000000003"/>
    <n v="2600"/>
    <s v="PVC"/>
    <m/>
    <s v="kazetový podhled"/>
    <x v="4"/>
  </r>
  <r>
    <s v="0.15f"/>
    <x v="8"/>
    <n v="9.84"/>
    <n v="2700"/>
    <s v="PVC"/>
    <m/>
    <m/>
    <x v="4"/>
  </r>
  <r>
    <s v="0.15g"/>
    <x v="7"/>
    <n v="20.88"/>
    <n v="2860"/>
    <s v="PVC"/>
    <m/>
    <s v="kazetový podhled"/>
    <x v="5"/>
  </r>
  <r>
    <s v="0.15h"/>
    <x v="4"/>
    <n v="54.41"/>
    <s v="2690-2860"/>
    <s v="PVC"/>
    <m/>
    <s v="kazetový podhled"/>
    <x v="3"/>
  </r>
  <r>
    <s v="0.15i"/>
    <x v="11"/>
    <n v="8.76"/>
    <n v="2690"/>
    <s v="PVC"/>
    <m/>
    <s v="kazetový podhled"/>
    <x v="2"/>
  </r>
</pivotCacheRecords>
</file>

<file path=xl/pivotCache/pivotCacheRecords2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001/I   "/>
    <m/>
    <x v="0"/>
    <n v="12"/>
    <n v="3.29"/>
    <s v="keram.dl."/>
    <m/>
    <m/>
    <x v="0"/>
  </r>
  <r>
    <s v="002/I   "/>
    <m/>
    <x v="1"/>
    <n v="8.6"/>
    <n v="3.28"/>
    <s v="keram.dl."/>
    <s v="obklad 1,33"/>
    <m/>
    <x v="0"/>
  </r>
  <r>
    <s v="003/I   "/>
    <m/>
    <x v="2"/>
    <n v="34"/>
    <n v="3.19"/>
    <s v="pvc"/>
    <m/>
    <m/>
    <x v="1"/>
  </r>
  <r>
    <s v="004/I   "/>
    <m/>
    <x v="3"/>
    <n v="10.6"/>
    <n v="3.22"/>
    <s v="pvc"/>
    <m/>
    <m/>
    <x v="1"/>
  </r>
  <r>
    <s v="005/I   "/>
    <s v="05"/>
    <x v="0"/>
    <n v="23.7"/>
    <n v="3.24"/>
    <s v="beton"/>
    <m/>
    <m/>
    <x v="0"/>
  </r>
  <r>
    <s v="006/I   "/>
    <m/>
    <x v="4"/>
    <n v="46.3"/>
    <n v="3.24"/>
    <s v="pvc"/>
    <m/>
    <m/>
    <x v="1"/>
  </r>
  <r>
    <s v="007/I   "/>
    <m/>
    <x v="0"/>
    <n v="35.9"/>
    <n v="3.31"/>
    <s v="beton"/>
    <m/>
    <m/>
    <x v="0"/>
  </r>
  <r>
    <s v="007a/I   "/>
    <m/>
    <x v="4"/>
    <n v="36"/>
    <n v="3.33"/>
    <s v="keram.dl."/>
    <m/>
    <m/>
    <x v="2"/>
  </r>
  <r>
    <s v="008/I   "/>
    <m/>
    <x v="5"/>
    <n v="46.3"/>
    <n v="3.33"/>
    <s v="vinyl"/>
    <m/>
    <m/>
    <x v="1"/>
  </r>
  <r>
    <s v="010/I   "/>
    <m/>
    <x v="6"/>
    <n v="42.8"/>
    <n v="3.28"/>
    <s v="beton"/>
    <m/>
    <m/>
    <x v="0"/>
  </r>
  <r>
    <s v="011/I   "/>
    <m/>
    <x v="7"/>
    <n v="46.5"/>
    <n v="3.28"/>
    <s v="beton"/>
    <m/>
    <m/>
    <x v="0"/>
  </r>
  <r>
    <s v="012/I   "/>
    <m/>
    <x v="0"/>
    <n v="5.4"/>
    <s v="3,17-1,57"/>
    <s v="keram.dl."/>
    <m/>
    <m/>
    <x v="0"/>
  </r>
  <r>
    <s v="091a/I   "/>
    <m/>
    <x v="8"/>
    <n v="94.5"/>
    <s v="3,30(3,33)"/>
    <s v="keram.dl."/>
    <m/>
    <m/>
    <x v="1"/>
  </r>
  <r>
    <s v="091b/I   "/>
    <m/>
    <x v="9"/>
    <n v="13.5"/>
    <n v="3.33"/>
    <s v="keram.dl."/>
    <m/>
    <m/>
    <x v="0"/>
  </r>
  <r>
    <s v="M08/I   "/>
    <s v="M08/I"/>
    <x v="5"/>
    <n v="43.6"/>
    <n v="2.8"/>
    <s v="pvc"/>
    <m/>
    <s v="mont. podhled"/>
    <x v="1"/>
  </r>
  <r>
    <s v="001/II   "/>
    <m/>
    <x v="1"/>
    <n v="8.8000000000000007"/>
    <n v="3.35"/>
    <s v="keram.dl."/>
    <s v="obklad 1,47"/>
    <m/>
    <x v="0"/>
  </r>
  <r>
    <s v="002/II   "/>
    <m/>
    <x v="10"/>
    <n v="2.2999999999999998"/>
    <n v="3.34"/>
    <s v="keram.dl."/>
    <m/>
    <m/>
    <x v="0"/>
  </r>
  <r>
    <s v="003/II   "/>
    <m/>
    <x v="1"/>
    <n v="8.6999999999999993"/>
    <n v="3.35"/>
    <s v="keram.dl."/>
    <s v="obklad 1,47"/>
    <m/>
    <x v="0"/>
  </r>
  <r>
    <s v="004/II   "/>
    <m/>
    <x v="11"/>
    <n v="22.4"/>
    <n v="3.22"/>
    <s v="pvc"/>
    <m/>
    <m/>
    <x v="0"/>
  </r>
  <r>
    <s v="005/II   "/>
    <m/>
    <x v="12"/>
    <n v="10.8"/>
    <n v="3.22"/>
    <s v="keram.dl."/>
    <s v="obklad 1,37(1,97)"/>
    <m/>
    <x v="0"/>
  </r>
  <r>
    <s v="006/II   "/>
    <m/>
    <x v="11"/>
    <n v="12"/>
    <n v="3.24"/>
    <s v="pvc"/>
    <m/>
    <m/>
    <x v="1"/>
  </r>
  <r>
    <s v="007/II   "/>
    <m/>
    <x v="11"/>
    <n v="12"/>
    <n v="3.24"/>
    <s v="pvc"/>
    <m/>
    <m/>
    <x v="1"/>
  </r>
  <r>
    <s v="008/II   "/>
    <m/>
    <x v="5"/>
    <n v="11.3"/>
    <n v="3.24"/>
    <s v="pvc"/>
    <m/>
    <m/>
    <x v="1"/>
  </r>
  <r>
    <s v="010/II   "/>
    <m/>
    <x v="3"/>
    <n v="11"/>
    <n v="3.33"/>
    <s v="pvc"/>
    <m/>
    <m/>
    <x v="2"/>
  </r>
  <r>
    <s v="011/II   "/>
    <m/>
    <x v="4"/>
    <n v="16.600000000000001"/>
    <n v="3.26"/>
    <s v="pvc"/>
    <m/>
    <m/>
    <x v="2"/>
  </r>
  <r>
    <s v="013/II   "/>
    <m/>
    <x v="13"/>
    <n v="16.5"/>
    <n v="3.1"/>
    <s v="pvc"/>
    <m/>
    <m/>
    <x v="0"/>
  </r>
  <r>
    <s v="014/II   "/>
    <m/>
    <x v="13"/>
    <n v="34.6"/>
    <n v="3.32"/>
    <s v="pvc"/>
    <m/>
    <m/>
    <x v="3"/>
  </r>
  <r>
    <s v="015/II   "/>
    <s v="15/2"/>
    <x v="14"/>
    <n v="16.7"/>
    <n v="3.31"/>
    <s v="pvc"/>
    <m/>
    <m/>
    <x v="0"/>
  </r>
  <r>
    <s v="016/II   "/>
    <s v="16/2"/>
    <x v="15"/>
    <n v="3.2"/>
    <n v="3.32"/>
    <s v="kyselinovzdorná dl."/>
    <m/>
    <m/>
    <x v="0"/>
  </r>
  <r>
    <s v="016a/II   "/>
    <s v="16a/2"/>
    <x v="0"/>
    <n v="13.5"/>
    <n v="3.31"/>
    <s v="kyselinovzdorná dl."/>
    <s v="olej nátěr 1,92"/>
    <m/>
    <x v="0"/>
  </r>
  <r>
    <s v="017/II   "/>
    <s v="17/2"/>
    <x v="4"/>
    <n v="73.7"/>
    <n v="3.19"/>
    <s v="pvc"/>
    <m/>
    <m/>
    <x v="1"/>
  </r>
  <r>
    <s v="018/II   "/>
    <s v="18/2"/>
    <x v="4"/>
    <n v="71.8"/>
    <n v="3.23"/>
    <s v="pvc"/>
    <m/>
    <m/>
    <x v="1"/>
  </r>
  <r>
    <s v="019/II   "/>
    <m/>
    <x v="0"/>
    <n v="5.5"/>
    <s v="3,18-1,59"/>
    <s v="pvc"/>
    <m/>
    <m/>
    <x v="3"/>
  </r>
  <r>
    <s v="020/II"/>
    <m/>
    <x v="0"/>
    <n v="6.5"/>
    <s v="3,18-1,59"/>
    <s v="keram.dl."/>
    <m/>
    <m/>
    <x v="3"/>
  </r>
  <r>
    <s v="021/II"/>
    <m/>
    <x v="8"/>
    <n v="13.9"/>
    <n v="3.3"/>
    <s v="keram.dl."/>
    <m/>
    <m/>
    <x v="1"/>
  </r>
  <r>
    <s v="091a/II   "/>
    <m/>
    <x v="8"/>
    <n v="80.900000000000006"/>
    <n v="3.3"/>
    <s v="keram.dl."/>
    <m/>
    <m/>
    <x v="1"/>
  </r>
  <r>
    <s v="012/II"/>
    <m/>
    <x v="8"/>
    <n v="6.5"/>
    <n v="2.35"/>
    <s v="keram.dl."/>
    <m/>
    <s v="mont. podhled"/>
    <x v="1"/>
  </r>
  <r>
    <s v="001/III   "/>
    <m/>
    <x v="0"/>
    <n v="8.6999999999999993"/>
    <n v="3.3"/>
    <s v="keram.dl."/>
    <s v="obklad 1,48"/>
    <m/>
    <x v="3"/>
  </r>
  <r>
    <s v="002/III   "/>
    <m/>
    <x v="0"/>
    <n v="2.2999999999999998"/>
    <n v="3.3"/>
    <s v="keram.dl."/>
    <m/>
    <m/>
    <x v="3"/>
  </r>
  <r>
    <s v="003/III   "/>
    <m/>
    <x v="0"/>
    <n v="8.6999999999999993"/>
    <n v="3.3"/>
    <s v="keram.dl."/>
    <s v="obklad 1,48"/>
    <m/>
    <x v="3"/>
  </r>
  <r>
    <s v="004/III   "/>
    <m/>
    <x v="16"/>
    <n v="22.4"/>
    <n v="3.25"/>
    <s v="beton"/>
    <m/>
    <m/>
    <x v="0"/>
  </r>
  <r>
    <s v="005/III   "/>
    <m/>
    <x v="3"/>
    <n v="11.7"/>
    <n v="3.27"/>
    <s v="pvc"/>
    <m/>
    <m/>
    <x v="1"/>
  </r>
  <r>
    <s v="006/III  "/>
    <m/>
    <x v="4"/>
    <n v="11.7"/>
    <n v="3.32"/>
    <s v="beton"/>
    <m/>
    <m/>
    <x v="1"/>
  </r>
  <r>
    <s v="007/III   "/>
    <s v="07/3"/>
    <x v="4"/>
    <n v="11.6"/>
    <n v="3.33"/>
    <s v="pvc"/>
    <m/>
    <m/>
    <x v="1"/>
  </r>
  <r>
    <s v="008a/III   "/>
    <s v="008a/3"/>
    <x v="11"/>
    <n v="10.9"/>
    <n v="3.34"/>
    <s v="pvc"/>
    <m/>
    <m/>
    <x v="1"/>
  </r>
  <r>
    <s v="008b/III   "/>
    <s v="008b/3"/>
    <x v="4"/>
    <n v="23.1"/>
    <n v="3.34"/>
    <s v="pvc"/>
    <m/>
    <m/>
    <x v="1"/>
  </r>
  <r>
    <s v="009/III   "/>
    <s v="009/3"/>
    <x v="11"/>
    <n v="38.15"/>
    <s v="2,57(3,18)"/>
    <s v="pvc"/>
    <m/>
    <m/>
    <x v="1"/>
  </r>
  <r>
    <s v="009a/III   "/>
    <s v="009a/3"/>
    <x v="11"/>
    <n v="15.9"/>
    <n v="3.2"/>
    <s v="pvc"/>
    <m/>
    <m/>
    <x v="1"/>
  </r>
  <r>
    <s v="M010/III   "/>
    <s v="M010/3"/>
    <x v="5"/>
    <n v="35"/>
    <n v="3.32"/>
    <s v="pvc"/>
    <m/>
    <m/>
    <x v="1"/>
  </r>
  <r>
    <s v="011/III   "/>
    <m/>
    <x v="4"/>
    <n v="17.399999999999999"/>
    <n v="3.2"/>
    <s v="pvc"/>
    <m/>
    <m/>
    <x v="1"/>
  </r>
  <r>
    <s v="011a/III"/>
    <m/>
    <x v="17"/>
    <n v="17.3"/>
    <m/>
    <m/>
    <m/>
    <m/>
    <x v="3"/>
  </r>
  <r>
    <s v="012/III   "/>
    <s v="12"/>
    <x v="4"/>
    <n v="37"/>
    <n v="3.28"/>
    <s v="pvc"/>
    <s v="obklad 0,91"/>
    <m/>
    <x v="1"/>
  </r>
  <r>
    <s v="014/III   "/>
    <s v="014/3"/>
    <x v="4"/>
    <n v="71.8"/>
    <n v="3.29"/>
    <s v="keram.dl."/>
    <m/>
    <m/>
    <x v="1"/>
  </r>
  <r>
    <s v="015/III   "/>
    <m/>
    <x v="18"/>
    <n v="17.2"/>
    <n v="3.3"/>
    <s v="pvc"/>
    <s v="obklad 0,92"/>
    <m/>
    <x v="1"/>
  </r>
  <r>
    <s v="016/III   "/>
    <s v="016"/>
    <x v="4"/>
    <n v="35.299999999999997"/>
    <n v="3.28"/>
    <s v="sadurit"/>
    <s v="obklad 0,93"/>
    <m/>
    <x v="1"/>
  </r>
  <r>
    <s v="017/III   "/>
    <m/>
    <x v="0"/>
    <n v="4.5999999999999996"/>
    <n v="3.3"/>
    <s v="keram.dl."/>
    <m/>
    <m/>
    <x v="0"/>
  </r>
  <r>
    <s v="018/III   "/>
    <m/>
    <x v="0"/>
    <n v="5.4"/>
    <s v="3,18-1,59"/>
    <s v="pvc"/>
    <m/>
    <m/>
    <x v="0"/>
  </r>
  <r>
    <s v="091/III   "/>
    <m/>
    <x v="8"/>
    <n v="90.7"/>
    <s v="3,27(2,15)"/>
    <s v="keram.dl."/>
    <m/>
    <m/>
    <x v="1"/>
  </r>
</pivotCacheRecords>
</file>

<file path=xl/pivotCache/pivotCacheRecords2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s v="01/I"/>
    <m/>
    <x v="0"/>
    <n v="15.7"/>
    <n v="3.3"/>
    <s v="keramická dl."/>
    <s v="obklad 2,17"/>
    <m/>
    <x v="0"/>
  </r>
  <r>
    <n v="1"/>
    <s v="02/I"/>
    <m/>
    <x v="1"/>
    <n v="4.0999999999999996"/>
    <n v="3.29"/>
    <s v="keramická dl."/>
    <m/>
    <m/>
    <x v="1"/>
  </r>
  <r>
    <n v="1"/>
    <s v="03/I"/>
    <m/>
    <x v="0"/>
    <n v="15.6"/>
    <n v="3.3"/>
    <s v="keramická dl."/>
    <s v="obklad 2,17"/>
    <m/>
    <x v="0"/>
  </r>
  <r>
    <n v="1"/>
    <s v="04/I"/>
    <s v="4"/>
    <x v="2"/>
    <n v="17"/>
    <n v="3.3"/>
    <s v="pvc"/>
    <m/>
    <m/>
    <x v="2"/>
  </r>
  <r>
    <n v="1"/>
    <s v="07/I"/>
    <s v="7"/>
    <x v="2"/>
    <n v="16.5"/>
    <n v="3.3"/>
    <s v="pvc"/>
    <m/>
    <m/>
    <x v="2"/>
  </r>
  <r>
    <n v="1"/>
    <s v="08/I"/>
    <s v="8"/>
    <x v="2"/>
    <n v="16.600000000000001"/>
    <n v="3.3"/>
    <s v="koberec"/>
    <m/>
    <m/>
    <x v="2"/>
  </r>
  <r>
    <n v="1"/>
    <s v="09/I"/>
    <s v="9"/>
    <x v="2"/>
    <n v="16.5"/>
    <n v="3.3"/>
    <s v="koberec"/>
    <m/>
    <m/>
    <x v="2"/>
  </r>
  <r>
    <n v="1"/>
    <s v="10/I"/>
    <s v="10"/>
    <x v="2"/>
    <n v="16.600000000000001"/>
    <n v="3.3"/>
    <s v="koberec"/>
    <m/>
    <m/>
    <x v="2"/>
  </r>
  <r>
    <n v="1"/>
    <s v="11/I"/>
    <s v="11"/>
    <x v="2"/>
    <n v="16.600000000000001"/>
    <n v="3.3"/>
    <s v="koberec"/>
    <m/>
    <m/>
    <x v="2"/>
  </r>
  <r>
    <n v="1"/>
    <s v="12/I"/>
    <s v="12"/>
    <x v="2"/>
    <n v="16.2"/>
    <n v="3.3"/>
    <s v="koberec"/>
    <m/>
    <m/>
    <x v="2"/>
  </r>
  <r>
    <n v="1"/>
    <s v="13/I"/>
    <s v="13"/>
    <x v="3"/>
    <n v="179"/>
    <s v="4,41(3,83)"/>
    <s v="sadurit"/>
    <m/>
    <m/>
    <x v="3"/>
  </r>
  <r>
    <n v="1"/>
    <s v="14/I"/>
    <s v="14"/>
    <x v="2"/>
    <n v="21.2"/>
    <n v="3.31"/>
    <s v="koberec"/>
    <m/>
    <m/>
    <x v="2"/>
  </r>
  <r>
    <n v="1"/>
    <s v="16/I"/>
    <s v="16"/>
    <x v="2"/>
    <n v="10.4"/>
    <n v="3.31"/>
    <s v="pvc"/>
    <m/>
    <m/>
    <x v="2"/>
  </r>
  <r>
    <n v="1"/>
    <s v="17/I"/>
    <s v="17"/>
    <x v="2"/>
    <n v="10.7"/>
    <n v="3.31"/>
    <s v="pvc"/>
    <m/>
    <m/>
    <x v="2"/>
  </r>
  <r>
    <n v="1"/>
    <s v="18/I"/>
    <s v="18"/>
    <x v="4"/>
    <n v="21.7"/>
    <n v="3.31"/>
    <s v="pvc"/>
    <m/>
    <m/>
    <x v="2"/>
  </r>
  <r>
    <n v="1"/>
    <s v="19/I"/>
    <s v="19"/>
    <x v="2"/>
    <n v="11.2"/>
    <n v="3.31"/>
    <s v="pvc"/>
    <m/>
    <m/>
    <x v="2"/>
  </r>
  <r>
    <n v="1"/>
    <s v="20/I"/>
    <s v="20"/>
    <x v="2"/>
    <n v="10.6"/>
    <n v="3.31"/>
    <s v="pvc"/>
    <m/>
    <m/>
    <x v="2"/>
  </r>
  <r>
    <n v="1"/>
    <s v="22/I"/>
    <s v="22"/>
    <x v="2"/>
    <n v="21.1"/>
    <n v="3.31"/>
    <s v="pvc"/>
    <m/>
    <m/>
    <x v="2"/>
  </r>
  <r>
    <n v="1"/>
    <s v="23/I"/>
    <m/>
    <x v="5"/>
    <n v="14"/>
    <n v="3.3"/>
    <s v="pvc"/>
    <m/>
    <m/>
    <x v="4"/>
  </r>
  <r>
    <n v="1"/>
    <s v="24/I"/>
    <m/>
    <x v="6"/>
    <n v="10"/>
    <s v="3,85-3,99"/>
    <s v="teraco"/>
    <m/>
    <m/>
    <x v="0"/>
  </r>
  <r>
    <n v="1"/>
    <s v="25/I"/>
    <m/>
    <x v="2"/>
    <n v="18.899999999999999"/>
    <s v="2,40-2,50"/>
    <s v="pvc"/>
    <m/>
    <m/>
    <x v="2"/>
  </r>
  <r>
    <n v="1"/>
    <s v="26/I"/>
    <m/>
    <x v="7"/>
    <n v="20.100000000000001"/>
    <n v="2.2400000000000002"/>
    <s v="beton"/>
    <m/>
    <m/>
    <x v="1"/>
  </r>
  <r>
    <n v="2"/>
    <s v="28/II"/>
    <m/>
    <x v="8"/>
    <n v="53.4"/>
    <n v="3.29"/>
    <s v="pvc"/>
    <s v="obklad 1,67(1,83)"/>
    <m/>
    <x v="1"/>
  </r>
  <r>
    <n v="2"/>
    <s v="30/II"/>
    <s v="30"/>
    <x v="2"/>
    <n v="16.8"/>
    <n v="3.32"/>
    <s v="koberec"/>
    <m/>
    <m/>
    <x v="2"/>
  </r>
  <r>
    <n v="2"/>
    <s v="31/II"/>
    <s v="31"/>
    <x v="2"/>
    <n v="18"/>
    <n v="3.31"/>
    <s v="koberec"/>
    <m/>
    <m/>
    <x v="2"/>
  </r>
  <r>
    <n v="2"/>
    <s v="32/II"/>
    <s v="32"/>
    <x v="2"/>
    <n v="16.3"/>
    <n v="3.31"/>
    <s v="koberec"/>
    <m/>
    <m/>
    <x v="2"/>
  </r>
  <r>
    <n v="2"/>
    <s v="33/II"/>
    <s v="33"/>
    <x v="2"/>
    <n v="33.4"/>
    <n v="3.05"/>
    <s v="koberec"/>
    <m/>
    <s v="mont. podhled"/>
    <x v="2"/>
  </r>
  <r>
    <n v="2"/>
    <s v="37/II"/>
    <s v="37"/>
    <x v="9"/>
    <n v="16.899999999999999"/>
    <n v="3.32"/>
    <s v="koberec"/>
    <m/>
    <m/>
    <x v="0"/>
  </r>
  <r>
    <n v="2"/>
    <s v="38/II"/>
    <m/>
    <x v="7"/>
    <n v="15.8"/>
    <n v="3.32"/>
    <s v="beton"/>
    <m/>
    <m/>
    <x v="1"/>
  </r>
  <r>
    <n v="2"/>
    <s v="41/II"/>
    <s v="41"/>
    <x v="2"/>
    <n v="20.7"/>
    <n v="3.32"/>
    <s v="koberec"/>
    <m/>
    <m/>
    <x v="2"/>
  </r>
  <r>
    <n v="2"/>
    <s v="42/II"/>
    <s v="42"/>
    <x v="2"/>
    <n v="11.4"/>
    <n v="3.32"/>
    <s v="koberec"/>
    <m/>
    <m/>
    <x v="2"/>
  </r>
  <r>
    <n v="2"/>
    <s v="43/II"/>
    <s v="43"/>
    <x v="2"/>
    <n v="11.2"/>
    <n v="3.32"/>
    <s v="koberec"/>
    <m/>
    <m/>
    <x v="2"/>
  </r>
  <r>
    <n v="2"/>
    <s v="44/II"/>
    <s v="44"/>
    <x v="2"/>
    <n v="22.1"/>
    <n v="3.32"/>
    <s v="koberec"/>
    <m/>
    <m/>
    <x v="2"/>
  </r>
  <r>
    <n v="2"/>
    <s v="45/II"/>
    <s v="45a,b"/>
    <x v="10"/>
    <n v="32.799999999999997"/>
    <n v="3.31"/>
    <s v="koberec"/>
    <m/>
    <m/>
    <x v="2"/>
  </r>
  <r>
    <n v="2"/>
    <s v="46/II"/>
    <s v="46"/>
    <x v="11"/>
    <n v="11"/>
    <n v="3.28"/>
    <s v="pvc"/>
    <m/>
    <m/>
    <x v="1"/>
  </r>
  <r>
    <n v="2"/>
    <s v="47/II"/>
    <m/>
    <x v="0"/>
    <n v="15.6"/>
    <n v="3.28"/>
    <s v="keramická dl."/>
    <s v="obklad 2,16"/>
    <m/>
    <x v="0"/>
  </r>
  <r>
    <n v="2"/>
    <s v="48/II"/>
    <m/>
    <x v="1"/>
    <n v="4.0999999999999996"/>
    <n v="3.3"/>
    <s v="keramická dl."/>
    <m/>
    <m/>
    <x v="1"/>
  </r>
  <r>
    <n v="2"/>
    <s v="49/II"/>
    <m/>
    <x v="0"/>
    <n v="15.7"/>
    <n v="3.28"/>
    <s v="keramická dl."/>
    <s v="obklad 1,97"/>
    <m/>
    <x v="0"/>
  </r>
  <r>
    <n v="3"/>
    <s v="50/III"/>
    <m/>
    <x v="6"/>
    <n v="10.1"/>
    <s v="3,85-3,99(2,50)"/>
    <s v="teraco"/>
    <m/>
    <m/>
    <x v="0"/>
  </r>
  <r>
    <n v="3"/>
    <s v="51/III "/>
    <m/>
    <x v="2"/>
    <n v="19.100000000000001"/>
    <n v="2.36"/>
    <s v="pvc"/>
    <m/>
    <m/>
    <x v="2"/>
  </r>
  <r>
    <n v="3"/>
    <s v="52/III"/>
    <m/>
    <x v="7"/>
    <n v="18"/>
    <s v="2,36(2,09)"/>
    <s v="beton"/>
    <m/>
    <m/>
    <x v="1"/>
  </r>
  <r>
    <n v="3"/>
    <s v="53/III"/>
    <m/>
    <x v="10"/>
    <n v="36"/>
    <s v="3,02(3,30)"/>
    <s v="koberec"/>
    <m/>
    <m/>
    <x v="0"/>
  </r>
  <r>
    <n v="3"/>
    <s v="54/III"/>
    <m/>
    <x v="12"/>
    <n v="52.7"/>
    <n v="3.31"/>
    <s v="koberec"/>
    <m/>
    <m/>
    <x v="3"/>
  </r>
  <r>
    <n v="3"/>
    <s v="55/III"/>
    <m/>
    <x v="12"/>
    <n v="17.3"/>
    <n v="3.32"/>
    <s v="koberec"/>
    <m/>
    <m/>
    <x v="3"/>
  </r>
  <r>
    <n v="3"/>
    <s v="56/III"/>
    <s v="56"/>
    <x v="2"/>
    <n v="16.5"/>
    <n v="3.32"/>
    <s v="plovoucí podlaha"/>
    <m/>
    <m/>
    <x v="2"/>
  </r>
  <r>
    <n v="3"/>
    <s v="57/III"/>
    <s v="57"/>
    <x v="2"/>
    <n v="16.5"/>
    <n v="3.32"/>
    <s v="plovoucí podlaha"/>
    <m/>
    <m/>
    <x v="2"/>
  </r>
  <r>
    <n v="3"/>
    <s v="58/III"/>
    <s v="58"/>
    <x v="2"/>
    <n v="16.399999999999999"/>
    <n v="3.31"/>
    <s v="plovoucí podlaha"/>
    <m/>
    <m/>
    <x v="2"/>
  </r>
  <r>
    <n v="3"/>
    <s v="59/III"/>
    <s v="59"/>
    <x v="2"/>
    <n v="16.5"/>
    <n v="3.31"/>
    <s v="koberec"/>
    <m/>
    <m/>
    <x v="2"/>
  </r>
  <r>
    <n v="3"/>
    <s v="60/III"/>
    <s v="60"/>
    <x v="2"/>
    <n v="33.700000000000003"/>
    <n v="3.31"/>
    <s v="pvc"/>
    <m/>
    <m/>
    <x v="2"/>
  </r>
  <r>
    <n v="3"/>
    <s v="61/III"/>
    <m/>
    <x v="3"/>
    <n v="178.8"/>
    <s v="4,39(3,80)"/>
    <s v="keramická dl."/>
    <m/>
    <m/>
    <x v="3"/>
  </r>
  <r>
    <n v="3"/>
    <s v="62/III"/>
    <s v="62"/>
    <x v="2"/>
    <n v="10.199999999999999"/>
    <n v="3.32"/>
    <s v="pvc"/>
    <m/>
    <m/>
    <x v="2"/>
  </r>
  <r>
    <n v="3"/>
    <s v="63/III"/>
    <s v="63"/>
    <x v="2"/>
    <n v="10.6"/>
    <n v="3.32"/>
    <s v="koberec"/>
    <m/>
    <m/>
    <x v="2"/>
  </r>
  <r>
    <n v="3"/>
    <s v="64/III"/>
    <s v="64"/>
    <x v="2"/>
    <n v="10.5"/>
    <n v="3.32"/>
    <s v="pvc"/>
    <m/>
    <m/>
    <x v="2"/>
  </r>
  <r>
    <n v="3"/>
    <s v="65/III"/>
    <s v="65"/>
    <x v="2"/>
    <n v="10.6"/>
    <n v="3.32"/>
    <s v="koberec"/>
    <m/>
    <m/>
    <x v="2"/>
  </r>
  <r>
    <n v="3"/>
    <s v="67/III"/>
    <m/>
    <x v="2"/>
    <n v="21.9"/>
    <n v="3.32"/>
    <s v="koberec"/>
    <m/>
    <m/>
    <x v="2"/>
  </r>
  <r>
    <n v="3"/>
    <s v="68/III"/>
    <m/>
    <x v="2"/>
    <n v="22.1"/>
    <n v="3.32"/>
    <s v="plovoucí podlaha"/>
    <m/>
    <m/>
    <x v="2"/>
  </r>
  <r>
    <n v="3"/>
    <s v="70/III"/>
    <s v="70"/>
    <x v="2"/>
    <n v="10.7"/>
    <n v="3.31"/>
    <s v="plovoucí podlaha"/>
    <m/>
    <m/>
    <x v="2"/>
  </r>
  <r>
    <n v="3"/>
    <s v="71/III"/>
    <s v="71"/>
    <x v="2"/>
    <n v="10.199999999999999"/>
    <n v="3.32"/>
    <s v="pvc"/>
    <m/>
    <m/>
    <x v="2"/>
  </r>
  <r>
    <n v="3"/>
    <s v="72/III"/>
    <m/>
    <x v="0"/>
    <n v="15.9"/>
    <n v="3.32"/>
    <s v="keramická dl."/>
    <s v="obklad 2,25"/>
    <m/>
    <x v="0"/>
  </r>
  <r>
    <n v="3"/>
    <s v="73/III   "/>
    <m/>
    <x v="1"/>
    <n v="4.2"/>
    <n v="3.31"/>
    <s v="keramická dl."/>
    <s v="nátěr 1,50"/>
    <m/>
    <x v="1"/>
  </r>
  <r>
    <n v="3"/>
    <s v="74/III "/>
    <m/>
    <x v="0"/>
    <n v="16"/>
    <n v="3.32"/>
    <s v="keramická dl."/>
    <s v="obklad 2,25"/>
    <m/>
    <x v="0"/>
  </r>
  <r>
    <n v="3"/>
    <s v="75/III"/>
    <m/>
    <x v="13"/>
    <n v="3.1"/>
    <n v="3.3"/>
    <s v="keramická dl."/>
    <m/>
    <m/>
    <x v="1"/>
  </r>
  <r>
    <n v="1"/>
    <s v="90a/I   "/>
    <m/>
    <x v="6"/>
    <n v="19.3"/>
    <n v="3.3"/>
    <s v="keramická dl."/>
    <m/>
    <m/>
    <x v="0"/>
  </r>
  <r>
    <n v="2"/>
    <s v="90b/II   "/>
    <m/>
    <x v="6"/>
    <n v="19.3"/>
    <n v="3.27"/>
    <s v="keramická dl."/>
    <m/>
    <m/>
    <x v="0"/>
  </r>
  <r>
    <n v="3"/>
    <s v="90c/III   "/>
    <m/>
    <x v="6"/>
    <n v="19.3"/>
    <m/>
    <m/>
    <m/>
    <m/>
    <x v="0"/>
  </r>
  <r>
    <n v="1"/>
    <s v="91/I   "/>
    <m/>
    <x v="14"/>
    <n v="8.9"/>
    <n v="2.65"/>
    <s v="keramická dl."/>
    <m/>
    <m/>
    <x v="0"/>
  </r>
  <r>
    <m/>
    <s v="91a   "/>
    <m/>
    <x v="15"/>
    <n v="515.1"/>
    <s v="3,09(3,30(2,83))"/>
    <s v="keramická dl."/>
    <m/>
    <m/>
    <x v="0"/>
  </r>
  <r>
    <n v="1"/>
    <s v="91b/I   "/>
    <m/>
    <x v="15"/>
    <n v="70.3"/>
    <s v="3,31(2,87)"/>
    <s v="keramická dl."/>
    <m/>
    <m/>
    <x v="0"/>
  </r>
  <r>
    <n v="1"/>
    <s v="91c/I   "/>
    <m/>
    <x v="15"/>
    <n v="35.200000000000003"/>
    <n v="3.57"/>
    <s v="keramická dl."/>
    <m/>
    <m/>
    <x v="0"/>
  </r>
  <r>
    <n v="2"/>
    <s v="91d/II   "/>
    <m/>
    <x v="15"/>
    <n v="70.099999999999994"/>
    <s v="3,30(2,82)"/>
    <s v="pvc"/>
    <m/>
    <m/>
    <x v="0"/>
  </r>
  <r>
    <n v="2"/>
    <s v="91e/II   "/>
    <m/>
    <x v="15"/>
    <n v="72.8"/>
    <s v="3,59(3,00)"/>
    <s v="pvc"/>
    <m/>
    <m/>
    <x v="0"/>
  </r>
  <r>
    <n v="3"/>
    <s v="91f/III   "/>
    <m/>
    <x v="15"/>
    <n v="70.2"/>
    <n v="3.31"/>
    <s v="pvc"/>
    <m/>
    <m/>
    <x v="0"/>
  </r>
  <r>
    <n v="3"/>
    <s v="91g/III   "/>
    <m/>
    <x v="15"/>
    <n v="35.4"/>
    <n v="3.54"/>
    <s v="pvc"/>
    <m/>
    <m/>
    <x v="0"/>
  </r>
  <r>
    <n v="2"/>
    <s v="92/II   "/>
    <m/>
    <x v="14"/>
    <n v="8.9"/>
    <n v="2.66"/>
    <s v="keramická dl."/>
    <m/>
    <m/>
    <x v="0"/>
  </r>
  <r>
    <n v="3"/>
    <s v="93/III  "/>
    <m/>
    <x v="14"/>
    <n v="8.6999999999999993"/>
    <n v="2.66"/>
    <s v="keramická dl."/>
    <m/>
    <m/>
    <x v="0"/>
  </r>
  <r>
    <n v="2"/>
    <s v="M1/II   "/>
    <m/>
    <x v="16"/>
    <n v="140.30000000000001"/>
    <s v="2,73(3,58)"/>
    <s v="koberec"/>
    <m/>
    <s v="mont. podhled"/>
    <x v="0"/>
  </r>
  <r>
    <m/>
    <s v="M/I   "/>
    <s v="M/I"/>
    <x v="16"/>
    <n v="99.9"/>
    <s v="3,19(4,43(4,12))"/>
    <s v="koberec"/>
    <m/>
    <s v="mont. podhled"/>
    <x v="0"/>
  </r>
  <r>
    <n v="3"/>
    <s v="M/III  "/>
    <m/>
    <x v="16"/>
    <n v="100.5"/>
    <s v="3,25(4,16)"/>
    <s v="koberec"/>
    <m/>
    <s v="mont. podhled"/>
    <x v="0"/>
  </r>
  <r>
    <n v="1"/>
    <s v="M6/I   "/>
    <s v="M6"/>
    <x v="16"/>
    <n v="53.6"/>
    <n v="3.3"/>
    <s v="pvc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4">
  <r>
    <s v="201"/>
    <m/>
    <s v="KO"/>
    <s v="Chodba"/>
    <m/>
    <n v="293.39"/>
    <x v="0"/>
    <x v="0"/>
    <s v="Keramická dlažba"/>
  </r>
  <r>
    <s v="105"/>
    <m/>
    <s v="KO"/>
    <s v="Schodiště kruhové"/>
    <m/>
    <n v="17.37"/>
    <x v="0"/>
    <x v="0"/>
    <s v="Keramická dlažba"/>
  </r>
  <r>
    <s v="202"/>
    <s v="KZR"/>
    <s v="L"/>
    <s v="Preparační místnost KZR-bezobratlí"/>
    <m/>
    <n v="35.630000000000003"/>
    <x v="1"/>
    <x v="0"/>
    <s v="Litá podlaha"/>
  </r>
  <r>
    <s v="203"/>
    <s v="KZR"/>
    <s v="L"/>
    <s v="Technická místnost KZR"/>
    <m/>
    <n v="6.72"/>
    <x v="1"/>
    <x v="0"/>
    <s v="Litá podlaha"/>
  </r>
  <r>
    <s v="204"/>
    <s v="KZR"/>
    <s v="L"/>
    <s v="Preparační místnost KZR-obratlovci"/>
    <m/>
    <n v="35.630000000000003"/>
    <x v="1"/>
    <x v="0"/>
    <s v="Litá podlaha"/>
  </r>
  <r>
    <s v="205"/>
    <s v="KZR"/>
    <s v="L"/>
    <s v="Laboratoř KZR-Genetická"/>
    <m/>
    <n v="51.38"/>
    <x v="1"/>
    <x v="0"/>
    <s v="Litá podlaha"/>
  </r>
  <r>
    <s v="206"/>
    <s v="KZR"/>
    <s v="L"/>
    <s v="Laboratoř KZR-Genetická izolační"/>
    <m/>
    <n v="25.14"/>
    <x v="1"/>
    <x v="0"/>
    <s v="Litá podlaha"/>
  </r>
  <r>
    <s v="207"/>
    <s v="KZR"/>
    <s v="L"/>
    <s v="Laboratoř KZR-vyšetřovna"/>
    <m/>
    <n v="25.14"/>
    <x v="1"/>
    <x v="0"/>
    <s v="Litá podlaha"/>
  </r>
  <r>
    <s v="208"/>
    <s v="KZR"/>
    <s v="L"/>
    <s v="Laboratoř KZR-lab. Pro zpracování biolog. Materiálu"/>
    <m/>
    <n v="51.56"/>
    <x v="1"/>
    <x v="0"/>
    <s v="Litá podlaha"/>
  </r>
  <r>
    <s v="209"/>
    <m/>
    <s v="SO"/>
    <s v="WC-ženy"/>
    <m/>
    <n v="17.03"/>
    <x v="2"/>
    <x v="0"/>
    <s v="Keramická dlažba"/>
  </r>
  <r>
    <s v="123"/>
    <m/>
    <s v="KO"/>
    <s v="Schodiště"/>
    <m/>
    <n v="17.36"/>
    <x v="0"/>
    <x v="0"/>
    <s v="Keramická dlažba"/>
  </r>
  <r>
    <s v="211"/>
    <s v="KSZ"/>
    <s v="L"/>
    <s v="Laboratoř analytická+mléko"/>
    <m/>
    <n v="77.77"/>
    <x v="1"/>
    <x v="0"/>
    <s v="Litá podlaha"/>
  </r>
  <r>
    <s v="212"/>
    <s v="KSZ"/>
    <s v="L"/>
    <s v="Laboratoř KSZ-maso-vejce-mikrobiologie"/>
    <m/>
    <n v="77.59"/>
    <x v="1"/>
    <x v="0"/>
    <s v="Litá podlaha"/>
  </r>
  <r>
    <s v="213"/>
    <s v="KSZ"/>
    <s v="L"/>
    <s v="Laboratoř KSZ-reprodukce"/>
    <m/>
    <n v="33.07"/>
    <x v="1"/>
    <x v="0"/>
    <s v="Litá podlaha"/>
  </r>
  <r>
    <s v="214"/>
    <m/>
    <s v="SO"/>
    <s v="WC mobilní s asistencí"/>
    <m/>
    <n v="5.17"/>
    <x v="2"/>
    <x v="0"/>
    <s v="Keramická dlažba"/>
  </r>
  <r>
    <s v="215"/>
    <m/>
    <s v="SO"/>
    <s v="WC+Sprcha-muži"/>
    <m/>
    <n v="12.99"/>
    <x v="2"/>
    <x v="0"/>
    <s v="Keramická dlažba"/>
  </r>
  <r>
    <s v="216"/>
    <m/>
    <s v="SO"/>
    <s v="Úklidová komora"/>
    <m/>
    <n v="1.7"/>
    <x v="0"/>
    <x v="0"/>
    <s v="Keramická dlažba"/>
  </r>
  <r>
    <s v="217"/>
    <m/>
    <s v="SO"/>
    <s v="WC+Sprcha-ženy"/>
    <m/>
    <n v="13.26"/>
    <x v="2"/>
    <x v="0"/>
    <s v="Keramická dlažba"/>
  </r>
  <r>
    <s v="003"/>
    <m/>
    <s v="KO"/>
    <s v="Výtahová šachta &quot;V1&quot;"/>
    <s v="s"/>
    <n v="4.03"/>
    <x v="0"/>
    <x v="0"/>
    <s v="Bezprašný nátěr"/>
  </r>
  <r>
    <s v="004"/>
    <m/>
    <s v="KO"/>
    <s v="Výtahová šachta &quot;V2&quot;"/>
    <s v="s"/>
    <n v="3.8"/>
    <x v="0"/>
    <x v="0"/>
    <s v="Bezprašný nátěr"/>
  </r>
  <r>
    <s v="218"/>
    <s v="KSZ"/>
    <s v="K"/>
    <s v="sklad KSZ"/>
    <m/>
    <n v="14.91"/>
    <x v="1"/>
    <x v="0"/>
    <s v="Zátěžový koberec"/>
  </r>
  <r>
    <s v="219"/>
    <s v="KSZ"/>
    <s v="L"/>
    <s v="Laboratoř KSZ-histologie"/>
    <m/>
    <n v="26.43"/>
    <x v="1"/>
    <x v="0"/>
    <s v="Litá podlaha"/>
  </r>
  <r>
    <s v="220"/>
    <s v="KSZ"/>
    <s v="L"/>
    <s v="Laboratoř KSZ-příprava vzorků"/>
    <m/>
    <n v="25.15"/>
    <x v="1"/>
    <x v="0"/>
    <s v="Litá podlaha"/>
  </r>
  <r>
    <s v="221"/>
    <s v="KSZ"/>
    <s v="L"/>
    <s v="Laboratoř KSZ-genetika špinavá"/>
    <m/>
    <n v="25.14"/>
    <x v="1"/>
    <x v="0"/>
    <s v="Litá podlaha"/>
  </r>
  <r>
    <s v="222"/>
    <s v="KSZ"/>
    <s v="L"/>
    <s v="Laboratoř KSZ-genetika čistá"/>
    <m/>
    <n v="51.56"/>
    <x v="1"/>
    <x v="0"/>
    <s v="Litá podlaha"/>
  </r>
  <r>
    <s v="223"/>
    <m/>
    <s v="SO"/>
    <s v="WC-muži"/>
    <m/>
    <n v="17.03"/>
    <x v="2"/>
    <x v="0"/>
    <s v="Keramická dlažba"/>
  </r>
  <r>
    <s v="224"/>
    <m/>
    <s v="KO"/>
    <s v="Schodiště"/>
    <m/>
    <n v="16.989999999999998"/>
    <x v="0"/>
    <x v="0"/>
    <s v="Keramická dlažba"/>
  </r>
  <r>
    <s v="225"/>
    <s v="KOZE"/>
    <s v="L"/>
    <s v="Laboratoř KOZE"/>
    <m/>
    <n v="52.81"/>
    <x v="1"/>
    <x v="0"/>
    <s v="Litá podlaha"/>
  </r>
  <r>
    <s v="226"/>
    <m/>
    <s v="KO"/>
    <s v="Spojovací chodba"/>
    <m/>
    <n v="35.299999999999997"/>
    <x v="0"/>
    <x v="0"/>
    <s v="Keramická dlažba"/>
  </r>
  <r>
    <s v="227"/>
    <s v="KOZE"/>
    <s v="TM"/>
    <s v="Technická místnost KOZE"/>
    <m/>
    <n v="3.15"/>
    <x v="1"/>
    <x v="0"/>
    <s v="Litá podlaha"/>
  </r>
  <r>
    <s v="228"/>
    <s v="KOZE"/>
    <s v="SO"/>
    <s v="Šatna"/>
    <m/>
    <n v="4.0999999999999996"/>
    <x v="1"/>
    <x v="0"/>
    <s v="Litá podlaha"/>
  </r>
  <r>
    <s v="229"/>
    <s v="KOZE"/>
    <s v="L"/>
    <s v="Laboratoř čistá KOZE"/>
    <m/>
    <n v="18.329999999999998"/>
    <x v="1"/>
    <x v="0"/>
    <s v="Litá podlaha"/>
  </r>
  <r>
    <s v="230"/>
    <s v="KOZE"/>
    <s v="L"/>
    <s v="Laboratoř KOZE"/>
    <m/>
    <n v="35.630000000000003"/>
    <x v="1"/>
    <x v="0"/>
    <s v="Litá podlaha"/>
  </r>
  <r>
    <s v="231"/>
    <s v="KOZE"/>
    <s v="L"/>
    <s v="Technická místnost KOZE"/>
    <m/>
    <n v="9.2899999999999991"/>
    <x v="1"/>
    <x v="0"/>
    <s v="Litá podlaha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6">
  <r>
    <s v="301"/>
    <m/>
    <s v="KO"/>
    <s v="Chodba"/>
    <m/>
    <n v="265.35000000000002"/>
    <x v="0"/>
    <x v="0"/>
    <s v="Keramická dlažba"/>
  </r>
  <r>
    <s v="105"/>
    <m/>
    <s v="KO"/>
    <s v="Schodiště kruhové"/>
    <m/>
    <n v="17.37"/>
    <x v="0"/>
    <x v="0"/>
    <s v="Keramická dlažba"/>
  </r>
  <r>
    <s v="302"/>
    <s v="KSZ"/>
    <s v="K"/>
    <s v="studovna doktorandů"/>
    <m/>
    <n v="17.78"/>
    <x v="1"/>
    <x v="1"/>
    <s v="Zátěžový koberec"/>
  </r>
  <r>
    <s v="303"/>
    <s v="KSZ"/>
    <s v="K"/>
    <s v="studovna doktorandů"/>
    <m/>
    <n v="17.46"/>
    <x v="1"/>
    <x v="1"/>
    <s v="Zátěžový koberec"/>
  </r>
  <r>
    <s v="304"/>
    <s v="KSZ"/>
    <s v="K"/>
    <s v="studovna doktorandů"/>
    <m/>
    <n v="17.78"/>
    <x v="1"/>
    <x v="1"/>
    <s v="Zátěžový koberec"/>
  </r>
  <r>
    <s v="305"/>
    <s v="KSZ"/>
    <s v="K"/>
    <s v="studovna doktorandů"/>
    <m/>
    <n v="17.78"/>
    <x v="1"/>
    <x v="1"/>
    <s v="Zátěžový koberec"/>
  </r>
  <r>
    <s v="306"/>
    <s v="KSZ"/>
    <s v="K"/>
    <s v="studovna doktorandů"/>
    <m/>
    <n v="17.78"/>
    <x v="1"/>
    <x v="1"/>
    <s v="Zátěžový koberec"/>
  </r>
  <r>
    <s v="307"/>
    <s v="KSZ"/>
    <s v="K"/>
    <s v="studovna doktorandů"/>
    <m/>
    <n v="17.78"/>
    <x v="1"/>
    <x v="1"/>
    <s v="Zátěžový koberec"/>
  </r>
  <r>
    <s v="308"/>
    <s v="KOZE"/>
    <s v="K"/>
    <s v="studovna doktorandů"/>
    <m/>
    <n v="17.78"/>
    <x v="1"/>
    <x v="1"/>
    <s v="Zátěžový koberec"/>
  </r>
  <r>
    <s v="309"/>
    <s v="KOZE"/>
    <s v="K"/>
    <s v="studovna doktorandů"/>
    <m/>
    <n v="17.78"/>
    <x v="1"/>
    <x v="1"/>
    <s v="Zátěžový koberec"/>
  </r>
  <r>
    <s v="310"/>
    <s v="KOZE"/>
    <s v="K"/>
    <s v="studovna doktorandů"/>
    <m/>
    <n v="17.899999999999999"/>
    <x v="1"/>
    <x v="1"/>
    <s v="Zátěžový koberec"/>
  </r>
  <r>
    <s v="311"/>
    <s v="KOZE"/>
    <s v="S"/>
    <s v="Sklad KOZE"/>
    <m/>
    <n v="12.04"/>
    <x v="2"/>
    <x v="0"/>
    <s v="Keramická dlažba"/>
  </r>
  <r>
    <s v="312"/>
    <m/>
    <s v="KO"/>
    <s v="Schodiště"/>
    <m/>
    <n v="21.26"/>
    <x v="0"/>
    <x v="0"/>
    <s v="Keramická dlažba"/>
  </r>
  <r>
    <s v="313"/>
    <s v="KSZ"/>
    <s v="K"/>
    <s v="pracovna pedagogů"/>
    <m/>
    <n v="17.899999999999999"/>
    <x v="1"/>
    <x v="1"/>
    <s v="Zátěžový koberec"/>
  </r>
  <r>
    <s v="314"/>
    <s v="KSZ"/>
    <s v="K"/>
    <s v="pracovna pedagogů"/>
    <m/>
    <n v="17.78"/>
    <x v="1"/>
    <x v="1"/>
    <s v="Zátěžový koberec"/>
  </r>
  <r>
    <s v="315"/>
    <s v="KSZ"/>
    <s v="K"/>
    <s v="pracovna pedagogů"/>
    <m/>
    <n v="17.78"/>
    <x v="1"/>
    <x v="1"/>
    <s v="Zátěžový koberec"/>
  </r>
  <r>
    <s v="316"/>
    <s v="KSZ"/>
    <s v="K"/>
    <s v="pracovna pedagogů"/>
    <m/>
    <n v="17.78"/>
    <x v="1"/>
    <x v="1"/>
    <s v="Zátěžový koberec"/>
  </r>
  <r>
    <s v="317"/>
    <s v="KSZ"/>
    <s v="K"/>
    <s v="pracovna pedagogů"/>
    <m/>
    <n v="17.78"/>
    <x v="1"/>
    <x v="1"/>
    <s v="Zátěžový koberec"/>
  </r>
  <r>
    <s v="318"/>
    <s v="KSZ"/>
    <s v="K"/>
    <s v="pracovna pedagogů"/>
    <m/>
    <n v="17.78"/>
    <x v="1"/>
    <x v="1"/>
    <s v="Zátěžový koberec"/>
  </r>
  <r>
    <s v="319"/>
    <s v="KSZ"/>
    <s v="K"/>
    <s v="pracovna pedagogů"/>
    <m/>
    <n v="17.78"/>
    <x v="1"/>
    <x v="1"/>
    <s v="Zátěžový koberec"/>
  </r>
  <r>
    <s v="320"/>
    <s v="KSZ"/>
    <s v="K"/>
    <s v="Kancelář-tajemník"/>
    <m/>
    <n v="15.68"/>
    <x v="1"/>
    <x v="1"/>
    <s v="Zátěžový koberec"/>
  </r>
  <r>
    <s v="321"/>
    <m/>
    <s v="SO"/>
    <s v="WC+Sprcha-muži"/>
    <m/>
    <n v="13.68"/>
    <x v="3"/>
    <x v="0"/>
    <s v="Keramická dlažba"/>
  </r>
  <r>
    <s v="322"/>
    <m/>
    <s v="SO"/>
    <s v="Úklidová komora"/>
    <m/>
    <n v="1.7"/>
    <x v="3"/>
    <x v="0"/>
    <s v="Keramická dlažba"/>
  </r>
  <r>
    <s v="323"/>
    <m/>
    <s v="SO"/>
    <s v="WC+Sprcha-ženy"/>
    <m/>
    <n v="13.94"/>
    <x v="3"/>
    <x v="0"/>
    <s v="Keramická dlažba"/>
  </r>
  <r>
    <s v="004"/>
    <m/>
    <s v="KO"/>
    <s v="Výtahová šachta&quot;V2&quot;"/>
    <s v="s"/>
    <n v="3.8"/>
    <x v="0"/>
    <x v="0"/>
    <s v="Bezprašný nátěr"/>
  </r>
  <r>
    <s v="324"/>
    <s v="KSZ"/>
    <s v="K"/>
    <s v="Pracovna ped. VK KSZ"/>
    <m/>
    <n v="35.46"/>
    <x v="1"/>
    <x v="1"/>
    <s v="Zátěžový koberec"/>
  </r>
  <r>
    <s v="325"/>
    <s v="KSZ"/>
    <s v="K"/>
    <s v="sekretariát"/>
    <m/>
    <n v="17.78"/>
    <x v="1"/>
    <x v="1"/>
    <s v="Zátěžový koberec"/>
  </r>
  <r>
    <s v="326"/>
    <s v="KSZ"/>
    <s v="ZM"/>
    <s v=" zasedací místnost ped"/>
    <m/>
    <n v="54.98"/>
    <x v="1"/>
    <x v="1"/>
    <s v="Zátěžový koberec"/>
  </r>
  <r>
    <s v="327"/>
    <m/>
    <s v="KO"/>
    <s v="Schodiště"/>
    <m/>
    <n v="21.26"/>
    <x v="0"/>
    <x v="0"/>
    <s v="Keramická dlažba"/>
  </r>
  <r>
    <s v="328"/>
    <m/>
    <s v="SO"/>
    <s v="WC mobilní"/>
    <m/>
    <n v="4.8600000000000003"/>
    <x v="3"/>
    <x v="0"/>
    <s v="Keramická dlažba"/>
  </r>
  <r>
    <s v="329"/>
    <m/>
    <s v="ZM"/>
    <s v="Čajová kuchyňka"/>
    <m/>
    <n v="6.72"/>
    <x v="0"/>
    <x v="0"/>
    <s v="Keramická dlažba"/>
  </r>
  <r>
    <s v="330"/>
    <s v="KSZ"/>
    <s v="K"/>
    <s v="studovna doktorandů"/>
    <m/>
    <n v="17.899999999999999"/>
    <x v="1"/>
    <x v="1"/>
    <s v="Zátěžový koberec"/>
  </r>
  <r>
    <s v="331"/>
    <s v="KSZ"/>
    <s v="K"/>
    <s v="pracovna pedagogů"/>
    <m/>
    <n v="17.78"/>
    <x v="1"/>
    <x v="1"/>
    <s v="Zátěžový koberec"/>
  </r>
  <r>
    <s v="332"/>
    <s v="KSZ"/>
    <s v="K"/>
    <s v="pracovna pedagogů"/>
    <m/>
    <n v="17.78"/>
    <x v="1"/>
    <x v="1"/>
    <s v="Zátěžový koberec"/>
  </r>
  <r>
    <s v="333"/>
    <s v="KSZ"/>
    <s v="K"/>
    <s v="studovna doktorandů"/>
    <m/>
    <n v="17.78"/>
    <x v="1"/>
    <x v="1"/>
    <s v="Zátěžový koberec"/>
  </r>
  <r>
    <s v="334"/>
    <s v="KSZ"/>
    <s v="K"/>
    <s v="pracovna pedagogů"/>
    <m/>
    <n v="17.78"/>
    <x v="1"/>
    <x v="1"/>
    <s v="Zátěžový koberec"/>
  </r>
  <r>
    <s v="335"/>
    <s v="KSZ"/>
    <s v="K"/>
    <s v="pracovna pedagogů"/>
    <m/>
    <n v="17.78"/>
    <x v="1"/>
    <x v="1"/>
    <s v="Zátěžový koberec"/>
  </r>
  <r>
    <s v="336"/>
    <s v="KSZ"/>
    <s v="K"/>
    <s v="pracovna pedagogů"/>
    <m/>
    <n v="17.78"/>
    <x v="1"/>
    <x v="1"/>
    <s v="Zátěžový koberec"/>
  </r>
  <r>
    <s v="337"/>
    <s v="KOZE"/>
    <s v="S"/>
    <s v="Sklad KOZE"/>
    <m/>
    <n v="19.350000000000001"/>
    <x v="2"/>
    <x v="0"/>
    <s v="Zátěžový vinyl"/>
  </r>
  <r>
    <s v="338"/>
    <s v="KZR"/>
    <s v="S"/>
    <s v="Sbírková místnost"/>
    <m/>
    <n v="19.5"/>
    <x v="2"/>
    <x v="0"/>
    <s v="Zátěžový vinyl"/>
  </r>
  <r>
    <s v="339"/>
    <s v="KZR"/>
    <s v="S"/>
    <s v="Sklad KZR"/>
    <m/>
    <n v="26.46"/>
    <x v="2"/>
    <x v="0"/>
    <s v="Zátěžový vinyl"/>
  </r>
  <r>
    <s v="340"/>
    <s v="KZR"/>
    <s v="S"/>
    <s v="Sklad KZR"/>
    <m/>
    <n v="21.91"/>
    <x v="2"/>
    <x v="0"/>
    <s v="Zátěžový vinyl"/>
  </r>
  <r>
    <s v="341"/>
    <m/>
    <s v="TM"/>
    <s v="místnost IT"/>
    <m/>
    <n v="12.88"/>
    <x v="1"/>
    <x v="1"/>
    <s v="Antistatické PVC"/>
  </r>
  <r>
    <s v="342"/>
    <s v="KSZ"/>
    <s v="S"/>
    <s v="Sklad KSZ"/>
    <m/>
    <n v="26.24"/>
    <x v="1"/>
    <x v="1"/>
    <s v="Zátěžový vinyl"/>
  </r>
  <r>
    <s v="343"/>
    <s v="KSZ"/>
    <s v="V"/>
    <s v="Knihovna KSZ"/>
    <m/>
    <n v="19.5"/>
    <x v="1"/>
    <x v="1"/>
    <s v="Zátěžový vinyl"/>
  </r>
  <r>
    <s v="344"/>
    <s v="KSZ"/>
    <s v="V"/>
    <s v="Archiv KSZ"/>
    <m/>
    <n v="19.350000000000001"/>
    <x v="1"/>
    <x v="1"/>
    <s v="Zátěžový vinyl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4">
  <r>
    <s v="401"/>
    <m/>
    <s v="KO"/>
    <s v="Chodba"/>
    <m/>
    <n v="276.95999999999998"/>
    <x v="0"/>
    <x v="0"/>
    <s v="Keramická dlažba"/>
  </r>
  <r>
    <s v="105"/>
    <m/>
    <s v="KO"/>
    <s v="Schodiště kruhové"/>
    <m/>
    <n v="17.37"/>
    <x v="0"/>
    <x v="0"/>
    <s v="Keramická dlažba"/>
  </r>
  <r>
    <s v="402"/>
    <s v="KOZE"/>
    <s v="K"/>
    <s v="pracovna pedagogů"/>
    <m/>
    <n v="17.78"/>
    <x v="1"/>
    <x v="1"/>
    <s v="Zátěžový koberec"/>
  </r>
  <r>
    <s v="403"/>
    <s v="KOZE"/>
    <s v="K"/>
    <s v="studovna doktorandů"/>
    <m/>
    <n v="36.020000000000003"/>
    <x v="1"/>
    <x v="1"/>
    <s v="Zátěžový koberec"/>
  </r>
  <r>
    <s v="404"/>
    <s v="KOZE"/>
    <s v="K"/>
    <s v="studovna doktorandů"/>
    <m/>
    <n v="17.78"/>
    <x v="1"/>
    <x v="1"/>
    <s v="Zátěžový koberec"/>
  </r>
  <r>
    <s v="405"/>
    <s v="KOZE"/>
    <s v="K"/>
    <s v="pracovna pedagogů"/>
    <m/>
    <n v="17.78"/>
    <x v="1"/>
    <x v="1"/>
    <s v="Zátěžový koberec"/>
  </r>
  <r>
    <s v="406"/>
    <s v="KOZE"/>
    <s v="K"/>
    <s v="studovna doktorandů"/>
    <m/>
    <n v="36.33"/>
    <x v="1"/>
    <x v="1"/>
    <s v="Zátěžový koberec"/>
  </r>
  <r>
    <n v="407"/>
    <s v="KOZE"/>
    <s v="K"/>
    <s v="studovna doktorandů"/>
    <m/>
    <n v="17.78"/>
    <x v="1"/>
    <x v="1"/>
    <s v="Zátěžový koberec"/>
  </r>
  <r>
    <n v="408"/>
    <s v="KOZE"/>
    <s v="K"/>
    <s v="pracovna pedagogů"/>
    <m/>
    <n v="17.78"/>
    <x v="1"/>
    <x v="1"/>
    <s v="Zátěžový koberec"/>
  </r>
  <r>
    <s v="409"/>
    <s v="KOZE"/>
    <s v="K"/>
    <s v="Sklad"/>
    <m/>
    <n v="12.04"/>
    <x v="1"/>
    <x v="1"/>
    <s v="Keramická dlažba"/>
  </r>
  <r>
    <s v="410"/>
    <m/>
    <s v="KO"/>
    <s v="Schodiště"/>
    <m/>
    <n v="21.26"/>
    <x v="0"/>
    <x v="0"/>
    <s v="Keramická dlažba"/>
  </r>
  <r>
    <s v="411"/>
    <s v="KZR"/>
    <s v="K"/>
    <s v="Pracovna ped. VK KOZE"/>
    <m/>
    <n v="36.46"/>
    <x v="1"/>
    <x v="1"/>
    <s v="Zátěžový vinyl"/>
  </r>
  <r>
    <s v="412"/>
    <s v="KZR"/>
    <s v="K"/>
    <s v="sekretariát KZR"/>
    <m/>
    <n v="17.78"/>
    <x v="1"/>
    <x v="1"/>
    <s v="Zátěžový vinyl"/>
  </r>
  <r>
    <s v="413"/>
    <s v="KZR"/>
    <s v="K"/>
    <s v="pracovna pedagogů"/>
    <m/>
    <n v="17.78"/>
    <x v="1"/>
    <x v="1"/>
    <s v="Zátěžový vinyl"/>
  </r>
  <r>
    <s v="414"/>
    <s v="KZR"/>
    <s v="K"/>
    <s v="pracovna pedagogů"/>
    <m/>
    <n v="17.78"/>
    <x v="1"/>
    <x v="1"/>
    <s v="Zátěžový vinyl"/>
  </r>
  <r>
    <s v="415"/>
    <s v="KZR"/>
    <s v="K"/>
    <s v="pracovna pedagogů"/>
    <m/>
    <n v="17.78"/>
    <x v="1"/>
    <x v="1"/>
    <s v="Zátěžový vinyl"/>
  </r>
  <r>
    <s v="416"/>
    <s v="KZR"/>
    <s v="K"/>
    <s v="studovna doktorandů"/>
    <m/>
    <n v="17.78"/>
    <x v="1"/>
    <x v="1"/>
    <s v="Zátěžový vinyl"/>
  </r>
  <r>
    <s v="417"/>
    <s v="KZR"/>
    <s v="K"/>
    <s v="pracovna pedagogů"/>
    <m/>
    <n v="15.68"/>
    <x v="1"/>
    <x v="1"/>
    <s v="Zátěžový vinyl"/>
  </r>
  <r>
    <s v="418"/>
    <m/>
    <s v="SO"/>
    <s v="WC+Sprcha-muži"/>
    <m/>
    <n v="13.68"/>
    <x v="2"/>
    <x v="0"/>
    <s v="Keramická dlažba"/>
  </r>
  <r>
    <s v="419"/>
    <m/>
    <s v="SO"/>
    <s v="Úklidová komora"/>
    <m/>
    <n v="1.7"/>
    <x v="2"/>
    <x v="0"/>
    <s v="Keramická dlažba"/>
  </r>
  <r>
    <s v="420"/>
    <m/>
    <s v="SO"/>
    <s v="WC+Sprcha-ženy"/>
    <m/>
    <n v="13.93"/>
    <x v="2"/>
    <x v="0"/>
    <s v="Keramická dlažba"/>
  </r>
  <r>
    <s v="004"/>
    <m/>
    <s v="KO"/>
    <s v="Výtahová šachta &quot;V2&quot;"/>
    <s v="s"/>
    <n v="3.8"/>
    <x v="0"/>
    <x v="0"/>
    <s v="Bezprašný nátěr"/>
  </r>
  <r>
    <s v="421"/>
    <s v="KZR"/>
    <s v="K"/>
    <s v="Pracovna ped."/>
    <m/>
    <n v="16.899999999999999"/>
    <x v="1"/>
    <x v="1"/>
    <s v="Zátěžový vinyl"/>
  </r>
  <r>
    <s v="422"/>
    <s v="KZR"/>
    <s v="K"/>
    <s v="Pracovna ped."/>
    <m/>
    <n v="17.78"/>
    <x v="1"/>
    <x v="1"/>
    <s v="Zátěžový vinyl"/>
  </r>
  <r>
    <s v="423"/>
    <s v="KZR"/>
    <s v="K"/>
    <s v="Pracovna ped."/>
    <m/>
    <n v="17.78"/>
    <x v="1"/>
    <x v="1"/>
    <s v="Zátěžový vinyl"/>
  </r>
  <r>
    <s v="424"/>
    <s v="KZR"/>
    <s v="K"/>
    <s v="Pracovna ped."/>
    <m/>
    <n v="17.78"/>
    <x v="1"/>
    <x v="1"/>
    <s v="Zátěžový vinyl"/>
  </r>
  <r>
    <s v="425"/>
    <s v="KZR"/>
    <s v="K"/>
    <s v="Pracovna ped."/>
    <m/>
    <n v="17.78"/>
    <x v="1"/>
    <x v="1"/>
    <s v="Zátěžový vinyl"/>
  </r>
  <r>
    <s v="426"/>
    <s v="KZR"/>
    <s v="K"/>
    <s v="Pracovna ped."/>
    <m/>
    <n v="17.899999999999999"/>
    <x v="1"/>
    <x v="1"/>
    <s v="Zátěžový vinyl"/>
  </r>
  <r>
    <s v="427"/>
    <m/>
    <s v="KO"/>
    <s v="Schodiště"/>
    <m/>
    <n v="21.26"/>
    <x v="0"/>
    <x v="0"/>
    <s v="Keramická dlažba"/>
  </r>
  <r>
    <s v="428"/>
    <m/>
    <s v="SO"/>
    <s v="WC mobilní"/>
    <m/>
    <n v="4.8600000000000003"/>
    <x v="2"/>
    <x v="0"/>
    <s v="Keramická dlažba"/>
  </r>
  <r>
    <s v="429"/>
    <m/>
    <s v="ZM"/>
    <s v="Čajová kuchyňka"/>
    <m/>
    <n v="6.72"/>
    <x v="0"/>
    <x v="0"/>
    <s v="Keramická dlažba"/>
  </r>
  <r>
    <s v="430"/>
    <s v="KOZE"/>
    <s v="K"/>
    <s v="Pracovna ped. VK KOZE"/>
    <m/>
    <n v="36.46"/>
    <x v="1"/>
    <x v="1"/>
    <s v="Zátěžový koberec"/>
  </r>
  <r>
    <s v="431"/>
    <s v="KOZE"/>
    <s v="K"/>
    <s v="sekretariát KOZE"/>
    <m/>
    <n v="17.78"/>
    <x v="1"/>
    <x v="1"/>
    <s v="Zátěžový koberec"/>
  </r>
  <r>
    <s v="432"/>
    <s v="KOZE"/>
    <s v="K"/>
    <s v="tajemník KOZE"/>
    <m/>
    <n v="17.78"/>
    <x v="1"/>
    <x v="1"/>
    <s v="Zátěžový koberec"/>
  </r>
  <r>
    <s v="433"/>
    <s v="KOZE"/>
    <s v="K"/>
    <s v="studovna doktorandů"/>
    <m/>
    <n v="36.33"/>
    <x v="1"/>
    <x v="1"/>
    <s v="Zátěžový koberec"/>
  </r>
  <r>
    <s v="434"/>
    <s v="KOZE"/>
    <s v="K"/>
    <s v="Pracovna ped."/>
    <m/>
    <n v="17.78"/>
    <x v="1"/>
    <x v="1"/>
    <s v="Zátěžový koberec"/>
  </r>
  <r>
    <s v="435"/>
    <s v="KZR"/>
    <s v="K"/>
    <s v="Pracovna doktorandi"/>
    <m/>
    <n v="18.399999999999999"/>
    <x v="1"/>
    <x v="1"/>
    <s v="Zátěžový vinyl"/>
  </r>
  <r>
    <s v="436"/>
    <s v="KZR"/>
    <s v="K"/>
    <s v="Pracovna doktorandi"/>
    <m/>
    <n v="18.899999999999999"/>
    <x v="1"/>
    <x v="1"/>
    <s v="Zátěžový vinyl"/>
  </r>
  <r>
    <s v="437"/>
    <s v="KZR"/>
    <s v="K"/>
    <s v="Pracovna doktorandi"/>
    <m/>
    <n v="18.149999999999999"/>
    <x v="1"/>
    <x v="1"/>
    <s v="Zátěžový vinyl"/>
  </r>
  <r>
    <s v="438"/>
    <s v="KZR"/>
    <s v="K"/>
    <s v="Pracovna doktorandi"/>
    <m/>
    <n v="18.5"/>
    <x v="1"/>
    <x v="1"/>
    <s v="Zátěžový vinyl"/>
  </r>
  <r>
    <s v="439"/>
    <s v="KOZE"/>
    <s v="K"/>
    <s v="Pracovna doktorandi"/>
    <m/>
    <n v="13.69"/>
    <x v="1"/>
    <x v="1"/>
    <s v="Zátěžový koberec"/>
  </r>
  <r>
    <s v="440"/>
    <s v="KOZE"/>
    <s v="K"/>
    <s v="Pracovna doktorandi"/>
    <m/>
    <n v="11.96"/>
    <x v="1"/>
    <x v="1"/>
    <s v="Zátěžový koberec"/>
  </r>
  <r>
    <s v="441"/>
    <s v="KOZE"/>
    <s v="K"/>
    <s v="Pracovna ped."/>
    <m/>
    <n v="16.739999999999998"/>
    <x v="1"/>
    <x v="1"/>
    <s v="Zátěžový koberec"/>
  </r>
  <r>
    <s v="442"/>
    <s v="KZR,KOZE"/>
    <s v="ZM"/>
    <s v="Zasedací místnost ped."/>
    <m/>
    <n v="49.76"/>
    <x v="1"/>
    <x v="1"/>
    <s v="Zátěžový koberec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3">
  <r>
    <n v="1"/>
    <x v="0"/>
    <s v="Chodba"/>
    <n v="91.69"/>
    <s v="Noraplan"/>
    <m/>
    <x v="0"/>
  </r>
  <r>
    <n v="2"/>
    <x v="0"/>
    <s v="Chodba"/>
    <n v="7.27"/>
    <s v="Dlažba"/>
    <m/>
    <x v="0"/>
  </r>
  <r>
    <n v="3"/>
    <x v="0"/>
    <s v="Chodba"/>
    <n v="10.88"/>
    <s v="Dlažba"/>
    <m/>
    <x v="0"/>
  </r>
  <r>
    <n v="4"/>
    <x v="0"/>
    <s v="Chodba"/>
    <n v="58.77"/>
    <s v="Dlažba"/>
    <m/>
    <x v="0"/>
  </r>
  <r>
    <n v="5"/>
    <x v="0"/>
    <s v="Chodba"/>
    <n v="8.89"/>
    <s v="Dlažba"/>
    <m/>
    <x v="0"/>
  </r>
  <r>
    <n v="6"/>
    <x v="0"/>
    <s v="Výtah"/>
    <n v="2.96"/>
    <s v="Mazazanina"/>
    <m/>
    <x v="0"/>
  </r>
  <r>
    <n v="7"/>
    <x v="0"/>
    <s v="Schodiště"/>
    <n v="9.7799999999999994"/>
    <s v="Dlažba"/>
    <m/>
    <x v="0"/>
  </r>
  <r>
    <n v="8"/>
    <x v="1"/>
    <s v="Posluchárna"/>
    <n v="100.79"/>
    <s v="Noraplan"/>
    <m/>
    <x v="0"/>
  </r>
  <r>
    <n v="9"/>
    <x v="2"/>
    <s v="Laboratoř"/>
    <n v="39.93"/>
    <s v="Noraplan"/>
    <m/>
    <x v="0"/>
  </r>
  <r>
    <n v="10"/>
    <x v="2"/>
    <s v="Laboratoř"/>
    <n v="20.28"/>
    <s v="Noraplan"/>
    <m/>
    <x v="0"/>
  </r>
  <r>
    <n v="11"/>
    <x v="2"/>
    <s v="Laboratoř"/>
    <n v="62.18"/>
    <s v="Noraplan"/>
    <m/>
    <x v="0"/>
  </r>
  <r>
    <n v="12"/>
    <x v="2"/>
    <s v="Laboratoř"/>
    <n v="39.94"/>
    <s v="Noraplan"/>
    <m/>
    <x v="0"/>
  </r>
  <r>
    <n v="13"/>
    <x v="2"/>
    <s v="Laboratoř"/>
    <n v="47.22"/>
    <s v="Noraplan"/>
    <m/>
    <x v="0"/>
  </r>
  <r>
    <n v="14"/>
    <x v="2"/>
    <s v="Laboratoř"/>
    <n v="10.93"/>
    <s v="Dlažba"/>
    <m/>
    <x v="0"/>
  </r>
  <r>
    <n v="15"/>
    <x v="2"/>
    <s v="Laboratoř"/>
    <n v="31.76"/>
    <s v="Noraplan"/>
    <m/>
    <x v="0"/>
  </r>
  <r>
    <n v="16"/>
    <x v="3"/>
    <s v="Kancelář"/>
    <n v="8.4499999999999993"/>
    <s v="Noraplan"/>
    <m/>
    <x v="1"/>
  </r>
  <r>
    <n v="17"/>
    <x v="3"/>
    <s v="Kancelář"/>
    <n v="15.77"/>
    <s v="Noraplan"/>
    <m/>
    <x v="1"/>
  </r>
  <r>
    <n v="18"/>
    <x v="3"/>
    <s v="Kancelář"/>
    <n v="15.1"/>
    <s v="Noraplan"/>
    <m/>
    <x v="1"/>
  </r>
  <r>
    <n v="19"/>
    <x v="3"/>
    <s v="Kancelář"/>
    <n v="14.12"/>
    <s v="Noraplan"/>
    <m/>
    <x v="1"/>
  </r>
  <r>
    <n v="20"/>
    <x v="3"/>
    <s v="Kancelář"/>
    <n v="14.12"/>
    <s v="Noraplan"/>
    <m/>
    <x v="1"/>
  </r>
  <r>
    <n v="21"/>
    <x v="3"/>
    <s v="Kancelář"/>
    <n v="14.12"/>
    <s v="Noraplan"/>
    <m/>
    <x v="1"/>
  </r>
  <r>
    <n v="22"/>
    <x v="3"/>
    <s v="Kancelář"/>
    <n v="15.99"/>
    <s v="Noraplan"/>
    <m/>
    <x v="1"/>
  </r>
  <r>
    <n v="23"/>
    <x v="3"/>
    <s v="Kancelář"/>
    <n v="12.33"/>
    <s v="Noraplan"/>
    <m/>
    <x v="1"/>
  </r>
  <r>
    <n v="24"/>
    <x v="4"/>
    <s v="WC"/>
    <n v="7.51"/>
    <s v="Dlažba"/>
    <m/>
    <x v="0"/>
  </r>
  <r>
    <n v="25"/>
    <x v="4"/>
    <s v="Umývárna"/>
    <n v="13.02"/>
    <s v="Dlažba"/>
    <m/>
    <x v="0"/>
  </r>
  <r>
    <n v="26"/>
    <x v="4"/>
    <s v="WC"/>
    <n v="7.41"/>
    <s v="Dlažba"/>
    <m/>
    <x v="0"/>
  </r>
  <r>
    <n v="27"/>
    <x v="4"/>
    <s v="WC"/>
    <n v="2.88"/>
    <s v="Dlažba"/>
    <m/>
    <x v="0"/>
  </r>
  <r>
    <n v="28"/>
    <x v="4"/>
    <s v="WC"/>
    <n v="7.68"/>
    <s v="Dlažba"/>
    <m/>
    <x v="0"/>
  </r>
  <r>
    <n v="29"/>
    <x v="4"/>
    <s v="Technická místnost"/>
    <n v="4.9400000000000004"/>
    <s v="Dlažba"/>
    <m/>
    <x v="0"/>
  </r>
  <r>
    <n v="30"/>
    <x v="4"/>
    <s v="WC"/>
    <n v="3.76"/>
    <s v="Dlažba"/>
    <m/>
    <x v="0"/>
  </r>
  <r>
    <n v="31"/>
    <x v="2"/>
    <s v="Pitevna"/>
    <n v="29.76"/>
    <s v="Dlažba"/>
    <m/>
    <x v="2"/>
  </r>
  <r>
    <n v="32"/>
    <x v="2"/>
    <s v="Pitevna"/>
    <n v="61.45"/>
    <s v="Dlažba"/>
    <m/>
    <x v="2"/>
  </r>
  <r>
    <n v="33"/>
    <x v="2"/>
    <s v="Pitevna"/>
    <n v="20.28"/>
    <s v="Dlažba"/>
    <m/>
    <x v="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0">
  <r>
    <n v="1"/>
    <x v="0"/>
    <s v="Chodba"/>
    <n v="92.63"/>
    <s v="Noraplan"/>
    <m/>
    <x v="0"/>
  </r>
  <r>
    <n v="2"/>
    <x v="0"/>
    <s v="Chodba"/>
    <n v="30.6"/>
    <s v="Noraplan"/>
    <m/>
    <x v="0"/>
  </r>
  <r>
    <n v="3"/>
    <x v="0"/>
    <s v="Chodba"/>
    <n v="25.75"/>
    <s v="Noraplan"/>
    <m/>
    <x v="0"/>
  </r>
  <r>
    <n v="4"/>
    <x v="0"/>
    <s v="Schodiště"/>
    <n v="3.89"/>
    <s v="Žula"/>
    <m/>
    <x v="0"/>
  </r>
  <r>
    <n v="5"/>
    <x v="0"/>
    <s v="Schodiště"/>
    <n v="8.48"/>
    <s v="Granit"/>
    <m/>
    <x v="0"/>
  </r>
  <r>
    <n v="6"/>
    <x v="1"/>
    <s v="Laboratoř"/>
    <n v="27.99"/>
    <s v="Noraplan"/>
    <m/>
    <x v="0"/>
  </r>
  <r>
    <n v="7"/>
    <x v="1"/>
    <s v="Laboratoř"/>
    <n v="38.49"/>
    <s v="Noraplan"/>
    <m/>
    <x v="0"/>
  </r>
  <r>
    <n v="8"/>
    <x v="1"/>
    <s v="Laboratoř"/>
    <n v="38.49"/>
    <s v="Noraplan"/>
    <m/>
    <x v="0"/>
  </r>
  <r>
    <n v="9"/>
    <x v="1"/>
    <s v="Laboratoř"/>
    <n v="29.47"/>
    <s v="Noraplan"/>
    <m/>
    <x v="0"/>
  </r>
  <r>
    <n v="10"/>
    <x v="1"/>
    <s v="Laboratoř"/>
    <n v="40.25"/>
    <s v="Noraplan"/>
    <m/>
    <x v="1"/>
  </r>
  <r>
    <n v="11"/>
    <x v="1"/>
    <s v="Laboratoř"/>
    <n v="19.260000000000002"/>
    <s v="Noraplan"/>
    <m/>
    <x v="1"/>
  </r>
  <r>
    <n v="12"/>
    <x v="1"/>
    <s v="Laboratoř"/>
    <n v="19.260000000000002"/>
    <s v="Noraplan"/>
    <m/>
    <x v="1"/>
  </r>
  <r>
    <n v="13"/>
    <x v="1"/>
    <s v="Laboratoř"/>
    <n v="19.260000000000002"/>
    <s v="Noraplan"/>
    <m/>
    <x v="1"/>
  </r>
  <r>
    <n v="14"/>
    <x v="1"/>
    <s v="Laboratoř"/>
    <n v="19.260000000000002"/>
    <s v="Noraplan"/>
    <m/>
    <x v="0"/>
  </r>
  <r>
    <n v="15"/>
    <x v="1"/>
    <s v="Laboratoř"/>
    <n v="19.260000000000002"/>
    <s v="Noraplan"/>
    <m/>
    <x v="0"/>
  </r>
  <r>
    <n v="16"/>
    <x v="1"/>
    <s v="Laboratoř"/>
    <n v="19.260000000000002"/>
    <s v="Noraplan"/>
    <m/>
    <x v="0"/>
  </r>
  <r>
    <n v="17"/>
    <x v="2"/>
    <s v="Kancelář"/>
    <n v="16.98"/>
    <s v="Noraplan"/>
    <m/>
    <x v="2"/>
  </r>
  <r>
    <n v="18"/>
    <x v="2"/>
    <s v="Kancelář"/>
    <n v="16.25"/>
    <s v="Noraplan"/>
    <m/>
    <x v="2"/>
  </r>
  <r>
    <n v="19"/>
    <x v="2"/>
    <s v="Kancelář"/>
    <n v="16.25"/>
    <s v="Noraplan"/>
    <m/>
    <x v="2"/>
  </r>
  <r>
    <n v="20"/>
    <x v="2"/>
    <s v="Kancelář"/>
    <n v="16.25"/>
    <s v="Noraplan"/>
    <m/>
    <x v="2"/>
  </r>
  <r>
    <n v="21"/>
    <x v="2"/>
    <s v="Kancelář"/>
    <n v="16.25"/>
    <s v="Noraplan"/>
    <m/>
    <x v="2"/>
  </r>
  <r>
    <n v="22"/>
    <x v="2"/>
    <s v="Kancelář"/>
    <n v="33.22"/>
    <s v="Noraplan"/>
    <m/>
    <x v="2"/>
  </r>
  <r>
    <n v="23"/>
    <x v="2"/>
    <s v="Kancelář"/>
    <n v="18.190000000000001"/>
    <s v="Noraplan"/>
    <m/>
    <x v="2"/>
  </r>
  <r>
    <n v="24"/>
    <x v="2"/>
    <s v="Kancelář"/>
    <n v="14.31"/>
    <s v="Noraplan"/>
    <m/>
    <x v="2"/>
  </r>
  <r>
    <n v="25"/>
    <x v="2"/>
    <s v="Kancelář"/>
    <n v="16.25"/>
    <s v="Noraplan"/>
    <m/>
    <x v="2"/>
  </r>
  <r>
    <n v="26"/>
    <x v="2"/>
    <s v="Kancelář"/>
    <n v="16.25"/>
    <s v="Noraplan"/>
    <m/>
    <x v="2"/>
  </r>
  <r>
    <n v="27"/>
    <x v="2"/>
    <s v="Kancelář"/>
    <n v="16.23"/>
    <s v="Noraplan"/>
    <m/>
    <x v="2"/>
  </r>
  <r>
    <n v="28"/>
    <x v="2"/>
    <s v="Kancelář"/>
    <n v="19.71"/>
    <s v="Noraplan"/>
    <m/>
    <x v="2"/>
  </r>
  <r>
    <n v="29"/>
    <x v="2"/>
    <s v="Kancelář"/>
    <n v="19.21"/>
    <s v="Noraplan"/>
    <m/>
    <x v="2"/>
  </r>
  <r>
    <n v="30"/>
    <x v="2"/>
    <s v="Kancelář"/>
    <n v="19.22"/>
    <s v="Noraplan"/>
    <m/>
    <x v="2"/>
  </r>
  <r>
    <n v="31"/>
    <x v="2"/>
    <s v="Kancelář"/>
    <n v="19.71"/>
    <s v="Noraplan"/>
    <m/>
    <x v="2"/>
  </r>
  <r>
    <n v="32"/>
    <x v="2"/>
    <s v="Kancelář"/>
    <n v="8.4600000000000009"/>
    <s v="Noraplan"/>
    <m/>
    <x v="2"/>
  </r>
  <r>
    <n v="33"/>
    <x v="2"/>
    <s v="Kancelář"/>
    <n v="15.83"/>
    <s v="Noraplan"/>
    <m/>
    <x v="2"/>
  </r>
  <r>
    <n v="34"/>
    <x v="3"/>
    <s v="WC"/>
    <n v="1.5"/>
    <s v="Dlažba"/>
    <m/>
    <x v="0"/>
  </r>
  <r>
    <n v="35"/>
    <x v="3"/>
    <s v="Sprcha"/>
    <n v="1.78"/>
    <s v="Dlažba"/>
    <m/>
    <x v="0"/>
  </r>
  <r>
    <n v="36"/>
    <x v="3"/>
    <s v="WC"/>
    <n v="5.04"/>
    <s v="Dlažba"/>
    <m/>
    <x v="0"/>
  </r>
  <r>
    <n v="37"/>
    <x v="3"/>
    <s v="WC"/>
    <n v="6.53"/>
    <s v="Dlažba"/>
    <m/>
    <x v="0"/>
  </r>
  <r>
    <n v="38"/>
    <x v="3"/>
    <s v="WC"/>
    <n v="3.5"/>
    <s v="Dlažba"/>
    <m/>
    <x v="0"/>
  </r>
  <r>
    <n v="39"/>
    <x v="3"/>
    <s v="WC"/>
    <n v="3.53"/>
    <s v="Dlažba"/>
    <m/>
    <x v="0"/>
  </r>
  <r>
    <n v="40"/>
    <x v="3"/>
    <s v="WC"/>
    <n v="3.62"/>
    <s v="Dlažba"/>
    <m/>
    <x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5">
  <r>
    <x v="0"/>
    <n v="0"/>
    <x v="0"/>
  </r>
  <r>
    <x v="1"/>
    <n v="29.75"/>
    <x v="0"/>
  </r>
  <r>
    <x v="2"/>
    <n v="0"/>
    <x v="0"/>
  </r>
  <r>
    <x v="3"/>
    <n v="6"/>
    <x v="0"/>
  </r>
  <r>
    <x v="4"/>
    <n v="3"/>
    <x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7">
  <r>
    <s v="501   "/>
    <m/>
    <s v="Vodafone"/>
    <s v="Vodafone"/>
    <x v="0"/>
    <s v="nepřístupné"/>
    <s v="nepřístupné"/>
    <s v="nepřístupné"/>
    <x v="0"/>
    <m/>
  </r>
  <r>
    <s v="502   "/>
    <m/>
    <s v="strojovna výtahů"/>
    <s v="Chodby, schodiště a ostatní"/>
    <x v="1"/>
    <n v="16.100000000000001"/>
    <n v="2.2799999999999998"/>
    <s v="beton"/>
    <x v="0"/>
    <s v="s"/>
  </r>
  <r>
    <s v="503   "/>
    <m/>
    <s v="dílna"/>
    <s v="Chodby, schodiště a ostatní"/>
    <x v="1"/>
    <n v="16"/>
    <n v="2.3199999999999998"/>
    <s v="beton"/>
    <x v="0"/>
    <m/>
  </r>
  <r>
    <s v="504   "/>
    <m/>
    <s v="dílna"/>
    <s v="Chodby, schodiště a ostatní"/>
    <x v="1"/>
    <n v="15.4"/>
    <n v="2.2999999999999998"/>
    <s v="beton"/>
    <x v="0"/>
    <m/>
  </r>
  <r>
    <s v="505   "/>
    <m/>
    <s v="chodba"/>
    <s v="Chodby, schodiště a ostatní"/>
    <x v="1"/>
    <n v="8.3000000000000007"/>
    <s v="2,60(2,24)"/>
    <s v="keram.dl"/>
    <x v="0"/>
    <m/>
  </r>
  <r>
    <s v="506"/>
    <m/>
    <s v="střecha"/>
    <s v="střecha"/>
    <x v="2"/>
    <n v="1773.7"/>
    <m/>
    <s v="asfaltová lepenka"/>
    <x v="0"/>
    <m/>
  </r>
  <r>
    <s v="591   "/>
    <m/>
    <s v="schodiště"/>
    <s v="Chodby, schodiště a ostatní"/>
    <x v="1"/>
    <n v="27.5"/>
    <n v="4.49"/>
    <s v="keram.dl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1" cacheId="1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1:L21" firstHeaderRow="1" firstDataRow="1" firstDataCol="1"/>
  <pivotFields count="9">
    <pivotField showAll="0"/>
    <pivotField showAll="0"/>
    <pivotField axis="axisRow" showAll="0">
      <items count="19">
        <item x="17"/>
        <item x="9"/>
        <item x="5"/>
        <item x="2"/>
        <item x="3"/>
        <item x="15"/>
        <item x="1"/>
        <item x="6"/>
        <item x="4"/>
        <item x="13"/>
        <item x="7"/>
        <item x="10"/>
        <item x="16"/>
        <item x="14"/>
        <item x="8"/>
        <item x="11"/>
        <item x="12"/>
        <item x="0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2">
    <field x="8"/>
    <field x="2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Items count="1">
    <i/>
  </colItems>
  <dataFields count="1">
    <dataField name="Součet z plocha (m2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2000000}" name="Kontingenční tabulka4" cacheId="1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147:M160" firstHeaderRow="1" firstDataRow="1" firstDataCol="1"/>
  <pivotFields count="9">
    <pivotField showAll="0"/>
    <pivotField showAll="0"/>
    <pivotField showAll="0"/>
    <pivotField showAll="0"/>
    <pivotField axis="axisRow" showAll="0">
      <items count="8">
        <item m="1" x="6"/>
        <item x="4"/>
        <item x="3"/>
        <item x="0"/>
        <item x="1"/>
        <item x="2"/>
        <item x="5"/>
        <item t="default"/>
      </items>
    </pivotField>
    <pivotField dataField="1" numFmtId="4" showAll="0"/>
    <pivotField showAll="0"/>
    <pivotField showAll="0" defaultSubtotal="0"/>
    <pivotField axis="axisRow" showAll="0" defaultSubtotal="0">
      <items count="3">
        <item x="2"/>
        <item x="0"/>
        <item x="1"/>
      </items>
    </pivotField>
  </pivotFields>
  <rowFields count="2">
    <field x="8"/>
    <field x="4"/>
  </rowFields>
  <rowItems count="13">
    <i>
      <x/>
    </i>
    <i r="1">
      <x v="2"/>
    </i>
    <i>
      <x v="1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5000000}" name="Kontingenční tabulka7" cacheId="1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402:M416" firstHeaderRow="1" firstDataRow="1" firstDataCol="1"/>
  <pivotFields count="9">
    <pivotField showAll="0"/>
    <pivotField showAll="0"/>
    <pivotField showAll="0"/>
    <pivotField showAll="0"/>
    <pivotField axis="axisRow" showAll="0">
      <items count="8">
        <item m="1" x="6"/>
        <item x="3"/>
        <item x="2"/>
        <item x="1"/>
        <item x="0"/>
        <item m="1" x="5"/>
        <item x="4"/>
        <item t="default"/>
      </items>
    </pivotField>
    <pivotField dataField="1" numFmtId="4" showAll="0"/>
    <pivotField showAll="0"/>
    <pivotField showAll="0" defaultSubtotal="0"/>
    <pivotField axis="axisRow" showAll="0" defaultSubtotal="0">
      <items count="4">
        <item x="3"/>
        <item x="2"/>
        <item x="0"/>
        <item x="1"/>
      </items>
    </pivotField>
  </pivotFields>
  <rowFields count="2">
    <field x="8"/>
    <field x="4"/>
  </rowFields>
  <rowItems count="14">
    <i>
      <x/>
    </i>
    <i r="1">
      <x v="2"/>
    </i>
    <i>
      <x v="1"/>
    </i>
    <i r="1">
      <x v="4"/>
    </i>
    <i>
      <x v="2"/>
    </i>
    <i r="1">
      <x v="2"/>
    </i>
    <i r="1">
      <x v="3"/>
    </i>
    <i r="1">
      <x v="4"/>
    </i>
    <i>
      <x v="3"/>
    </i>
    <i r="1">
      <x v="1"/>
    </i>
    <i r="1">
      <x v="2"/>
    </i>
    <i r="1">
      <x v="4"/>
    </i>
    <i r="1">
      <x v="6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Kontingenční tabulka5" cacheId="1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221:M233" firstHeaderRow="1" firstDataRow="1" firstDataCol="1"/>
  <pivotFields count="9">
    <pivotField showAll="0"/>
    <pivotField showAll="0"/>
    <pivotField showAll="0"/>
    <pivotField showAll="0"/>
    <pivotField axis="axisRow" showAll="0">
      <items count="9">
        <item m="1" x="7"/>
        <item x="5"/>
        <item x="3"/>
        <item x="0"/>
        <item x="2"/>
        <item x="4"/>
        <item x="6"/>
        <item x="1"/>
        <item t="default"/>
      </items>
    </pivotField>
    <pivotField dataField="1" numFmtId="4" showAll="0"/>
    <pivotField showAll="0"/>
    <pivotField showAll="0" defaultSubtotal="0"/>
    <pivotField axis="axisRow" showAll="0" defaultSubtotal="0">
      <items count="3">
        <item x="0"/>
        <item x="2"/>
        <item x="1"/>
      </items>
    </pivotField>
  </pivotFields>
  <rowFields count="2">
    <field x="8"/>
    <field x="4"/>
  </rowFields>
  <rowItems count="12">
    <i>
      <x/>
    </i>
    <i r="1">
      <x v="2"/>
    </i>
    <i r="1">
      <x v="3"/>
    </i>
    <i>
      <x v="1"/>
    </i>
    <i r="1">
      <x v="1"/>
    </i>
    <i r="1">
      <x v="2"/>
    </i>
    <i r="1">
      <x v="4"/>
    </i>
    <i r="1">
      <x v="5"/>
    </i>
    <i r="1">
      <x v="6"/>
    </i>
    <i>
      <x v="2"/>
    </i>
    <i r="1">
      <x v="7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1000000}" name="Kontingenční tabulka3" cacheId="1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72:M83" firstHeaderRow="1" firstDataRow="1" firstDataCol="1"/>
  <pivotFields count="9"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7">
        <item m="1" x="6"/>
        <item x="4"/>
        <item x="3"/>
        <item x="0"/>
        <item x="1"/>
        <item x="2"/>
        <item x="5"/>
      </items>
    </pivotField>
    <pivotField dataField="1" numFmtId="4" showAll="0" defaultSubtotal="0"/>
    <pivotField showAll="0" defaultSubtotal="0"/>
    <pivotField showAll="0" defaultSubtotal="0"/>
    <pivotField axis="axisRow" showAll="0" defaultSubtotal="0">
      <items count="3">
        <item x="2"/>
        <item x="0"/>
        <item x="1"/>
      </items>
    </pivotField>
  </pivotFields>
  <rowFields count="2">
    <field x="8"/>
    <field x="4"/>
  </rowFields>
  <rowItems count="11">
    <i>
      <x/>
    </i>
    <i r="1">
      <x v="2"/>
    </i>
    <i>
      <x v="1"/>
    </i>
    <i r="1">
      <x v="3"/>
    </i>
    <i>
      <x v="2"/>
    </i>
    <i r="1">
      <x v="1"/>
    </i>
    <i r="1">
      <x v="2"/>
    </i>
    <i r="1">
      <x v="4"/>
    </i>
    <i r="1">
      <x v="5"/>
    </i>
    <i r="1">
      <x v="6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4000000}" name="Kontingenční tabulka6" cacheId="1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294:M308" firstHeaderRow="1" firstDataRow="1" firstDataCol="1"/>
  <pivotFields count="9">
    <pivotField showAll="0"/>
    <pivotField showAll="0"/>
    <pivotField showAll="0"/>
    <pivotField showAll="0"/>
    <pivotField axis="axisRow" showAll="0">
      <items count="8">
        <item m="1" x="6"/>
        <item x="4"/>
        <item x="3"/>
        <item x="0"/>
        <item x="1"/>
        <item x="2"/>
        <item x="5"/>
        <item t="default"/>
      </items>
    </pivotField>
    <pivotField dataField="1" numFmtId="4" showAll="0"/>
    <pivotField showAll="0"/>
    <pivotField showAll="0" defaultSubtotal="0"/>
    <pivotField axis="axisRow" showAll="0" defaultSubtotal="0">
      <items count="3">
        <item x="2"/>
        <item x="0"/>
        <item x="1"/>
      </items>
    </pivotField>
  </pivotFields>
  <rowFields count="2">
    <field x="8"/>
    <field x="4"/>
  </rowFields>
  <rowItems count="14">
    <i>
      <x/>
    </i>
    <i r="1">
      <x v="2"/>
    </i>
    <i r="1">
      <x v="4"/>
    </i>
    <i>
      <x v="1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6000000}" name="Kontingenční tabulka8" cacheId="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492:M497" firstHeaderRow="1" firstDataRow="1" firstDataCol="1"/>
  <pivotFields count="10">
    <pivotField showAll="0"/>
    <pivotField showAll="0"/>
    <pivotField showAll="0"/>
    <pivotField showAll="0"/>
    <pivotField axis="axisRow" showAll="0">
      <items count="5">
        <item m="1" x="3"/>
        <item x="1"/>
        <item x="0"/>
        <item x="2"/>
        <item t="default"/>
      </items>
    </pivotField>
    <pivotField dataField="1" showAll="0"/>
    <pivotField showAll="0"/>
    <pivotField showAll="0"/>
    <pivotField axis="axisRow" showAll="0">
      <items count="2">
        <item x="0"/>
        <item t="default"/>
      </items>
    </pivotField>
    <pivotField showAll="0"/>
  </pivotFields>
  <rowFields count="2">
    <field x="8"/>
    <field x="4"/>
  </rowFields>
  <rowItems count="5">
    <i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učet z plocha (m2)" fld="5" baseField="4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4000000}" name="Kontingenční tabulka9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3:L7" firstHeaderRow="1" firstDataRow="1" firstDataCol="1"/>
  <pivotFields count="9">
    <pivotField showAll="0"/>
    <pivotField showAll="0"/>
    <pivotField showAll="0"/>
    <pivotField showAll="0"/>
    <pivotField showAll="0"/>
    <pivotField dataField="1" numFmtId="4"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</pivotFields>
  <rowFields count="2">
    <field x="7"/>
    <field x="6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Součet z Plocha v m2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3000000}" name="Kontingenční tabulka13" cacheId="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142:L148" firstHeaderRow="1" firstDataRow="1" firstDataCol="1"/>
  <pivotFields count="9">
    <pivotField showAll="0"/>
    <pivotField showAll="0"/>
    <pivotField showAll="0"/>
    <pivotField showAll="0"/>
    <pivotField showAll="0"/>
    <pivotField dataField="1" numFmtId="4" showAll="0"/>
    <pivotField axis="axisRow" showAll="0">
      <items count="4">
        <item x="0"/>
        <item x="1"/>
        <item x="2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2">
    <field x="7"/>
    <field x="6"/>
  </rowFields>
  <rowItems count="6">
    <i>
      <x/>
    </i>
    <i r="1">
      <x v="1"/>
    </i>
    <i>
      <x v="1"/>
    </i>
    <i r="1">
      <x/>
    </i>
    <i r="1">
      <x v="2"/>
    </i>
    <i t="grand">
      <x/>
    </i>
  </rowItems>
  <colItems count="1">
    <i/>
  </colItems>
  <dataFields count="1">
    <dataField name="Součet z Plocha v m2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2000000}" name="Kontingenční tabulka12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93:L100" firstHeaderRow="1" firstDataRow="1" firstDataCol="1"/>
  <pivotFields count="9">
    <pivotField showAll="0"/>
    <pivotField showAll="0"/>
    <pivotField showAll="0"/>
    <pivotField showAll="0"/>
    <pivotField showAll="0"/>
    <pivotField dataField="1" numFmtId="4"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2">
    <field x="7"/>
    <field x="6"/>
  </rowFields>
  <rowItems count="7">
    <i>
      <x/>
    </i>
    <i r="1">
      <x v="1"/>
    </i>
    <i>
      <x v="1"/>
    </i>
    <i r="1">
      <x/>
    </i>
    <i r="1">
      <x v="2"/>
    </i>
    <i r="1">
      <x v="3"/>
    </i>
    <i t="grand">
      <x/>
    </i>
  </rowItems>
  <colItems count="1">
    <i/>
  </colItems>
  <dataFields count="1">
    <dataField name="Součet z Plocha v m2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1000000}" name="Kontingenční tabulka11" cacheId="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56:L61" firstHeaderRow="1" firstDataRow="1" firstDataCol="1"/>
  <pivotFields count="9"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axis="axisRow" showAll="0">
      <items count="2">
        <item x="0"/>
        <item t="default"/>
      </items>
    </pivotField>
    <pivotField showAll="0"/>
  </pivotFields>
  <rowFields count="2">
    <field x="7"/>
    <field x="6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učet z Plocha v m2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Kontingenční tabulka2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1:L28" firstHeaderRow="1" firstDataRow="1" firstDataCol="1"/>
  <pivotFields count="9">
    <pivotField showAll="0"/>
    <pivotField showAll="0"/>
    <pivotField axis="axisRow" showAll="0">
      <items count="23">
        <item x="1"/>
        <item x="3"/>
        <item x="21"/>
        <item x="4"/>
        <item x="15"/>
        <item x="11"/>
        <item x="10"/>
        <item x="7"/>
        <item x="8"/>
        <item x="9"/>
        <item x="12"/>
        <item x="5"/>
        <item x="13"/>
        <item x="6"/>
        <item x="16"/>
        <item x="17"/>
        <item x="19"/>
        <item x="2"/>
        <item x="14"/>
        <item x="18"/>
        <item x="20"/>
        <item x="0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</pivotFields>
  <rowFields count="2">
    <field x="8"/>
    <field x="2"/>
  </rowFields>
  <rowItems count="27">
    <i>
      <x/>
    </i>
    <i r="1">
      <x v="2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4"/>
    </i>
    <i r="1">
      <x v="17"/>
    </i>
    <i>
      <x v="1"/>
    </i>
    <i r="1">
      <x/>
    </i>
    <i r="1">
      <x v="1"/>
    </i>
    <i r="1">
      <x v="3"/>
    </i>
    <i r="1">
      <x v="10"/>
    </i>
    <i r="1">
      <x v="21"/>
    </i>
    <i>
      <x v="2"/>
    </i>
    <i r="1">
      <x v="4"/>
    </i>
    <i r="1">
      <x v="11"/>
    </i>
    <i r="1">
      <x v="15"/>
    </i>
    <i r="1">
      <x v="16"/>
    </i>
    <i r="1">
      <x v="18"/>
    </i>
    <i r="1">
      <x v="19"/>
    </i>
    <i r="1">
      <x v="20"/>
    </i>
    <i>
      <x v="3"/>
    </i>
    <i r="1">
      <x v="13"/>
    </i>
    <i t="grand">
      <x/>
    </i>
  </rowItems>
  <colItems count="1">
    <i/>
  </colItems>
  <dataFields count="1">
    <dataField name="Součet z plocha (m2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Kontingenční tabulka10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K24:L31" firstHeaderRow="1" firstDataRow="1" firstDataCol="1"/>
  <pivotFields count="9">
    <pivotField showAll="0"/>
    <pivotField showAll="0"/>
    <pivotField showAll="0"/>
    <pivotField showAll="0"/>
    <pivotField showAll="0"/>
    <pivotField dataField="1"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2">
        <item x="0"/>
        <item t="default"/>
      </items>
    </pivotField>
    <pivotField showAll="0"/>
  </pivotFields>
  <rowFields count="2">
    <field x="7"/>
    <field x="6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učet z Plocha v m2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Kontingenční tabulka15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I40:J49" firstHeaderRow="1" firstDataRow="1" firstDataCol="1"/>
  <pivotFields count="7">
    <pivotField numFmtId="1" showAll="0"/>
    <pivotField axis="axisRow" showAll="0">
      <items count="5">
        <item x="0"/>
        <item x="2"/>
        <item x="1"/>
        <item x="3"/>
        <item t="default"/>
      </items>
    </pivotField>
    <pivotField showAll="0"/>
    <pivotField dataField="1" showAll="0"/>
    <pivotField showAll="0"/>
    <pivotField showAll="0"/>
    <pivotField axis="axisRow" showAll="0">
      <items count="4">
        <item x="1"/>
        <item x="2"/>
        <item x="0"/>
        <item t="default"/>
      </items>
    </pivotField>
  </pivotFields>
  <rowFields count="2">
    <field x="6"/>
    <field x="1"/>
  </rowFields>
  <rowItems count="9">
    <i>
      <x/>
    </i>
    <i r="1">
      <x v="2"/>
    </i>
    <i>
      <x v="1"/>
    </i>
    <i r="1">
      <x v="1"/>
    </i>
    <i>
      <x v="2"/>
    </i>
    <i r="1">
      <x/>
    </i>
    <i r="1">
      <x v="2"/>
    </i>
    <i r="1">
      <x v="3"/>
    </i>
    <i t="grand">
      <x/>
    </i>
  </rowItems>
  <colItems count="1">
    <i/>
  </colItems>
  <dataFields count="1">
    <dataField name="Součet z plocha (m2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Kontingenční tabulka14" cacheId="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I3:J13" firstHeaderRow="1" firstDataRow="1" firstDataCol="1"/>
  <pivotFields count="7">
    <pivotField numFmtId="1" showAll="0"/>
    <pivotField axis="axisRow" showAll="0">
      <items count="6">
        <item x="0"/>
        <item x="3"/>
        <item x="2"/>
        <item x="4"/>
        <item x="1"/>
        <item t="default"/>
      </items>
    </pivotField>
    <pivotField showAll="0"/>
    <pivotField dataField="1" showAll="0"/>
    <pivotField showAll="0"/>
    <pivotField showAll="0"/>
    <pivotField axis="axisRow" showAll="0">
      <items count="4">
        <item x="2"/>
        <item x="1"/>
        <item x="0"/>
        <item t="default"/>
      </items>
    </pivotField>
  </pivotFields>
  <rowFields count="2">
    <field x="6"/>
    <field x="1"/>
  </rowFields>
  <rowItems count="10">
    <i>
      <x/>
    </i>
    <i r="1">
      <x v="2"/>
    </i>
    <i>
      <x v="1"/>
    </i>
    <i r="1">
      <x v="1"/>
    </i>
    <i>
      <x v="2"/>
    </i>
    <i r="1">
      <x/>
    </i>
    <i r="1">
      <x v="2"/>
    </i>
    <i r="1">
      <x v="3"/>
    </i>
    <i r="1">
      <x v="4"/>
    </i>
    <i t="grand">
      <x/>
    </i>
  </rowItems>
  <colItems count="1">
    <i/>
  </colItems>
  <dataFields count="1">
    <dataField name="Součet z plocha (m2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Kontingenční tabulka2" cacheId="15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J5:L17" firstHeaderRow="2" firstDataRow="2" firstDataCol="2"/>
  <pivotFields count="9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1">
        <item x="0"/>
        <item x="1"/>
        <item x="9"/>
        <item x="4"/>
        <item x="5"/>
        <item x="3"/>
        <item x="6"/>
        <item x="2"/>
        <item x="8"/>
        <item x="7"/>
        <item t="default"/>
      </items>
    </pivotField>
    <pivotField dataField="1" compact="0" numFmtId="165" outline="0" subtotalTop="0" showAll="0" includeNewItemsInFilter="1"/>
    <pivotField compact="0" numFmtId="2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2">
        <item x="0"/>
        <item x="1"/>
      </items>
    </pivotField>
  </pivotFields>
  <rowFields count="2">
    <field x="8"/>
    <field x="2"/>
  </rowFields>
  <rowItems count="11">
    <i>
      <x/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  <x v="2"/>
    </i>
    <i t="grand">
      <x/>
    </i>
  </rowItems>
  <colItems count="1">
    <i/>
  </colItems>
  <dataFields count="1">
    <dataField name="Součet z plocha (m2)" fld="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Kontingenční tabulka1" cacheId="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E1:F8" firstHeaderRow="1" firstDataRow="1" firstDataCol="1"/>
  <pivotFields count="3">
    <pivotField axis="axisRow" showAll="0">
      <items count="6">
        <item x="3"/>
        <item x="2"/>
        <item x="1"/>
        <item x="0"/>
        <item x="4"/>
        <item t="default"/>
      </items>
    </pivotField>
    <pivotField dataField="1" numFmtId="2" showAll="0"/>
    <pivotField axis="axisRow" showAll="0">
      <items count="2">
        <item x="0"/>
        <item t="default"/>
      </items>
    </pivotField>
  </pivotFields>
  <rowFields count="2">
    <field x="2"/>
    <field x="0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učet z m2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Kontingenční tabulka17" cacheId="1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E2:F9" firstHeaderRow="1" firstDataRow="1" firstDataCol="1"/>
  <pivotFields count="3">
    <pivotField axis="axisRow" showAll="0">
      <items count="6">
        <item x="3"/>
        <item x="2"/>
        <item x="1"/>
        <item x="0"/>
        <item x="4"/>
        <item t="default"/>
      </items>
    </pivotField>
    <pivotField dataField="1" showAll="0"/>
    <pivotField axis="axisRow" showAll="0" defaultSubtotal="0">
      <items count="2">
        <item x="0"/>
        <item m="1" x="1"/>
      </items>
    </pivotField>
  </pivotFields>
  <rowFields count="2">
    <field x="2"/>
    <field x="0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učet z m2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200-000000000000}" name="Kontingenční tabulka18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E2:F9" firstHeaderRow="1" firstDataRow="1" firstDataCol="1"/>
  <pivotFields count="3">
    <pivotField axis="axisRow" showAll="0">
      <items count="6">
        <item x="3"/>
        <item x="2"/>
        <item x="1"/>
        <item x="0"/>
        <item x="4"/>
        <item t="default"/>
      </items>
    </pivotField>
    <pivotField dataField="1" numFmtId="2" showAll="0"/>
    <pivotField axis="axisRow" showAll="0" defaultSubtotal="0">
      <items count="1">
        <item x="0"/>
      </items>
    </pivotField>
  </pivotFields>
  <rowFields count="2">
    <field x="2"/>
    <field x="0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učet z m2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Kontingenční tabulka3" cacheId="2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K3:L32" firstHeaderRow="1" firstDataRow="1" firstDataCol="1"/>
  <pivotFields count="9">
    <pivotField showAll="0"/>
    <pivotField showAll="0"/>
    <pivotField axis="axisRow" showAll="0">
      <items count="24">
        <item x="8"/>
        <item x="0"/>
        <item x="1"/>
        <item x="2"/>
        <item x="3"/>
        <item x="4"/>
        <item x="6"/>
        <item x="7"/>
        <item x="9"/>
        <item x="5"/>
        <item x="10"/>
        <item x="11"/>
        <item x="12"/>
        <item m="1" x="22"/>
        <item x="13"/>
        <item m="1" x="19"/>
        <item x="14"/>
        <item x="15"/>
        <item x="16"/>
        <item m="1" x="21"/>
        <item x="17"/>
        <item x="18"/>
        <item m="1" x="20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5">
        <item x="2"/>
        <item x="1"/>
        <item x="0"/>
        <item x="3"/>
        <item t="default"/>
      </items>
    </pivotField>
  </pivotFields>
  <rowFields count="2">
    <field x="8"/>
    <field x="2"/>
  </rowFields>
  <rowItems count="29">
    <i>
      <x/>
    </i>
    <i r="1">
      <x v="4"/>
    </i>
    <i r="1">
      <x v="5"/>
    </i>
    <i>
      <x v="1"/>
    </i>
    <i r="1">
      <x/>
    </i>
    <i r="1">
      <x v="3"/>
    </i>
    <i r="1">
      <x v="4"/>
    </i>
    <i r="1">
      <x v="5"/>
    </i>
    <i r="1">
      <x v="9"/>
    </i>
    <i r="1">
      <x v="11"/>
    </i>
    <i r="1">
      <x v="21"/>
    </i>
    <i>
      <x v="2"/>
    </i>
    <i r="1">
      <x v="1"/>
    </i>
    <i r="1">
      <x v="2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4"/>
    </i>
    <i r="1">
      <x v="16"/>
    </i>
    <i r="1">
      <x v="17"/>
    </i>
    <i r="1">
      <x v="18"/>
    </i>
    <i>
      <x v="3"/>
    </i>
    <i r="1">
      <x v="1"/>
    </i>
    <i r="1">
      <x v="14"/>
    </i>
    <i r="1">
      <x v="20"/>
    </i>
    <i t="grand">
      <x/>
    </i>
  </rowItems>
  <colItems count="1">
    <i/>
  </colItems>
  <dataFields count="1">
    <dataField name="Součet z plocha (m2)" fld="3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Kontingenční tabulka4" cacheId="2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L1:M25" firstHeaderRow="1" firstDataRow="1" firstDataCol="1"/>
  <pivotFields count="10">
    <pivotField showAll="0"/>
    <pivotField showAll="0"/>
    <pivotField showAll="0"/>
    <pivotField axis="axisRow" showAll="0">
      <items count="22">
        <item x="15"/>
        <item m="1" x="18"/>
        <item m="1" x="17"/>
        <item x="2"/>
        <item x="10"/>
        <item x="4"/>
        <item x="9"/>
        <item x="3"/>
        <item x="8"/>
        <item m="1" x="19"/>
        <item x="16"/>
        <item x="11"/>
        <item x="13"/>
        <item x="6"/>
        <item m="1" x="20"/>
        <item x="1"/>
        <item x="14"/>
        <item x="7"/>
        <item x="0"/>
        <item x="12"/>
        <item x="5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10">
        <item x="1"/>
        <item m="1" x="8"/>
        <item m="1" x="7"/>
        <item m="1" x="6"/>
        <item m="1" x="5"/>
        <item x="3"/>
        <item x="0"/>
        <item x="2"/>
        <item x="4"/>
        <item t="default"/>
      </items>
    </pivotField>
  </pivotFields>
  <rowFields count="2">
    <field x="9"/>
    <field x="3"/>
  </rowFields>
  <rowItems count="24">
    <i>
      <x/>
    </i>
    <i r="1">
      <x v="8"/>
    </i>
    <i r="1">
      <x v="11"/>
    </i>
    <i r="1">
      <x v="12"/>
    </i>
    <i r="1">
      <x v="15"/>
    </i>
    <i r="1">
      <x v="17"/>
    </i>
    <i>
      <x v="5"/>
    </i>
    <i r="1">
      <x v="7"/>
    </i>
    <i r="1">
      <x v="19"/>
    </i>
    <i>
      <x v="6"/>
    </i>
    <i r="1">
      <x/>
    </i>
    <i r="1">
      <x v="4"/>
    </i>
    <i r="1">
      <x v="6"/>
    </i>
    <i r="1">
      <x v="10"/>
    </i>
    <i r="1">
      <x v="13"/>
    </i>
    <i r="1">
      <x v="16"/>
    </i>
    <i r="1">
      <x v="18"/>
    </i>
    <i>
      <x v="7"/>
    </i>
    <i r="1">
      <x v="3"/>
    </i>
    <i r="1">
      <x v="4"/>
    </i>
    <i r="1">
      <x v="5"/>
    </i>
    <i>
      <x v="8"/>
    </i>
    <i r="1">
      <x v="20"/>
    </i>
    <i t="grand">
      <x/>
    </i>
  </rowItems>
  <colItems count="1">
    <i/>
  </colItems>
  <dataFields count="1">
    <dataField name="Součet z plocha (m2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Kontingenční tabulka5" cacheId="2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1:M16" firstHeaderRow="1" firstDataRow="1" firstDataCol="1"/>
  <pivotFields count="10">
    <pivotField showAll="0"/>
    <pivotField showAll="0"/>
    <pivotField showAll="0"/>
    <pivotField axis="axisRow" showAll="0">
      <items count="10">
        <item x="6"/>
        <item x="2"/>
        <item x="3"/>
        <item x="7"/>
        <item x="8"/>
        <item x="5"/>
        <item x="4"/>
        <item x="1"/>
        <item x="0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2">
    <field x="9"/>
    <field x="3"/>
  </rowFields>
  <rowItems count="15">
    <i>
      <x/>
    </i>
    <i r="1">
      <x v="7"/>
    </i>
    <i>
      <x v="1"/>
    </i>
    <i r="1">
      <x v="2"/>
    </i>
    <i>
      <x v="2"/>
    </i>
    <i r="1">
      <x v="1"/>
    </i>
    <i r="1">
      <x v="2"/>
    </i>
    <i r="1">
      <x v="3"/>
    </i>
    <i>
      <x v="3"/>
    </i>
    <i r="1">
      <x/>
    </i>
    <i r="1">
      <x v="4"/>
    </i>
    <i r="1">
      <x v="5"/>
    </i>
    <i r="1">
      <x v="6"/>
    </i>
    <i r="1">
      <x v="8"/>
    </i>
    <i t="grand">
      <x/>
    </i>
  </rowItems>
  <colItems count="1">
    <i/>
  </colItems>
  <dataFields count="1">
    <dataField name="Součet z plocha (m2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Kontingenční tabulka6" cacheId="2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L1:M14" firstHeaderRow="1" firstDataRow="1" firstDataCol="1"/>
  <pivotFields count="10">
    <pivotField showAll="0"/>
    <pivotField showAll="0"/>
    <pivotField showAll="0"/>
    <pivotField axis="axisRow" showAll="0">
      <items count="9">
        <item x="7"/>
        <item x="2"/>
        <item x="3"/>
        <item x="5"/>
        <item x="6"/>
        <item x="4"/>
        <item x="1"/>
        <item x="0"/>
        <item t="default"/>
      </items>
    </pivotField>
    <pivotField dataField="1" numFmtId="165"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2">
    <field x="9"/>
    <field x="3"/>
  </rowFields>
  <rowItems count="13">
    <i>
      <x/>
    </i>
    <i r="1">
      <x v="3"/>
    </i>
    <i r="1">
      <x v="6"/>
    </i>
    <i>
      <x v="1"/>
    </i>
    <i r="1">
      <x v="2"/>
    </i>
    <i>
      <x v="2"/>
    </i>
    <i r="1">
      <x v="1"/>
    </i>
    <i>
      <x v="3"/>
    </i>
    <i r="1">
      <x/>
    </i>
    <i r="1">
      <x v="4"/>
    </i>
    <i r="1">
      <x v="5"/>
    </i>
    <i r="1">
      <x v="7"/>
    </i>
    <i t="grand">
      <x/>
    </i>
  </rowItems>
  <colItems count="1">
    <i/>
  </colItems>
  <dataFields count="1">
    <dataField name="Součet z plocha (m2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Kontingenční tabulka7" cacheId="22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J1:K56" firstHeaderRow="1" firstDataRow="1" firstDataCol="1"/>
  <pivotFields count="8">
    <pivotField showAll="0"/>
    <pivotField axis="axisRow" showAll="0">
      <items count="42">
        <item x="17"/>
        <item x="11"/>
        <item x="12"/>
        <item x="9"/>
        <item x="39"/>
        <item x="3"/>
        <item x="34"/>
        <item x="2"/>
        <item x="20"/>
        <item x="19"/>
        <item x="6"/>
        <item x="4"/>
        <item x="26"/>
        <item x="24"/>
        <item x="35"/>
        <item x="37"/>
        <item x="10"/>
        <item x="30"/>
        <item x="8"/>
        <item x="5"/>
        <item x="25"/>
        <item x="32"/>
        <item x="14"/>
        <item x="16"/>
        <item x="36"/>
        <item x="40"/>
        <item x="13"/>
        <item x="22"/>
        <item x="38"/>
        <item x="0"/>
        <item x="18"/>
        <item x="27"/>
        <item x="23"/>
        <item x="7"/>
        <item x="31"/>
        <item x="33"/>
        <item x="1"/>
        <item x="21"/>
        <item x="15"/>
        <item x="29"/>
        <item x="28"/>
        <item t="default"/>
      </items>
    </pivotField>
    <pivotField dataField="1" numFmtId="2" showAll="0"/>
    <pivotField showAll="0"/>
    <pivotField showAll="0"/>
    <pivotField showAll="0"/>
    <pivotField showAll="0"/>
    <pivotField axis="axisRow" showAll="0">
      <items count="7">
        <item x="1"/>
        <item x="5"/>
        <item x="3"/>
        <item x="2"/>
        <item x="0"/>
        <item x="4"/>
        <item t="default"/>
      </items>
    </pivotField>
  </pivotFields>
  <rowFields count="2">
    <field x="7"/>
    <field x="1"/>
  </rowFields>
  <rowItems count="55">
    <i>
      <x/>
    </i>
    <i r="1">
      <x v="7"/>
    </i>
    <i r="1">
      <x v="17"/>
    </i>
    <i r="1">
      <x v="19"/>
    </i>
    <i r="1">
      <x v="21"/>
    </i>
    <i r="1">
      <x v="25"/>
    </i>
    <i r="1">
      <x v="30"/>
    </i>
    <i r="1">
      <x v="35"/>
    </i>
    <i r="1">
      <x v="37"/>
    </i>
    <i r="1">
      <x v="38"/>
    </i>
    <i>
      <x v="1"/>
    </i>
    <i r="1">
      <x v="8"/>
    </i>
    <i r="1">
      <x v="9"/>
    </i>
    <i r="1">
      <x v="14"/>
    </i>
    <i r="1">
      <x v="20"/>
    </i>
    <i r="1">
      <x v="22"/>
    </i>
    <i r="1">
      <x v="28"/>
    </i>
    <i r="1">
      <x v="38"/>
    </i>
    <i>
      <x v="2"/>
    </i>
    <i r="1">
      <x/>
    </i>
    <i r="1">
      <x v="19"/>
    </i>
    <i r="1">
      <x v="37"/>
    </i>
    <i>
      <x v="3"/>
    </i>
    <i r="1">
      <x v="5"/>
    </i>
    <i r="1">
      <x v="6"/>
    </i>
    <i r="1">
      <x v="8"/>
    </i>
    <i r="1">
      <x v="11"/>
    </i>
    <i r="1">
      <x v="12"/>
    </i>
    <i r="1">
      <x v="13"/>
    </i>
    <i r="1">
      <x v="14"/>
    </i>
    <i r="1">
      <x v="15"/>
    </i>
    <i r="1">
      <x v="23"/>
    </i>
    <i r="1">
      <x v="27"/>
    </i>
    <i r="1">
      <x v="32"/>
    </i>
    <i>
      <x v="4"/>
    </i>
    <i r="1">
      <x v="4"/>
    </i>
    <i r="1">
      <x v="10"/>
    </i>
    <i r="1">
      <x v="29"/>
    </i>
    <i r="1">
      <x v="33"/>
    </i>
    <i r="1">
      <x v="34"/>
    </i>
    <i r="1">
      <x v="36"/>
    </i>
    <i r="1">
      <x v="39"/>
    </i>
    <i r="1">
      <x v="40"/>
    </i>
    <i>
      <x v="5"/>
    </i>
    <i r="1">
      <x v="1"/>
    </i>
    <i r="1">
      <x v="2"/>
    </i>
    <i r="1">
      <x v="3"/>
    </i>
    <i r="1">
      <x v="13"/>
    </i>
    <i r="1">
      <x v="16"/>
    </i>
    <i r="1">
      <x v="18"/>
    </i>
    <i r="1">
      <x v="23"/>
    </i>
    <i r="1">
      <x v="24"/>
    </i>
    <i r="1">
      <x v="26"/>
    </i>
    <i r="1">
      <x v="31"/>
    </i>
    <i t="grand">
      <x/>
    </i>
  </rowItems>
  <colItems count="1">
    <i/>
  </colItems>
  <dataFields count="1">
    <dataField name="Součet z PLOCHA (m2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Kontingenční tabulka8" cacheId="2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J1:K22" firstHeaderRow="1" firstDataRow="1" firstDataCol="1"/>
  <pivotFields count="8">
    <pivotField showAll="0"/>
    <pivotField axis="axisRow" showAll="0">
      <items count="13">
        <item x="3"/>
        <item x="8"/>
        <item x="7"/>
        <item x="2"/>
        <item x="5"/>
        <item x="10"/>
        <item x="1"/>
        <item x="0"/>
        <item x="9"/>
        <item x="6"/>
        <item x="11"/>
        <item x="4"/>
        <item t="default"/>
      </items>
    </pivotField>
    <pivotField dataField="1" numFmtId="2" showAll="0"/>
    <pivotField showAll="0"/>
    <pivotField showAll="0"/>
    <pivotField showAll="0"/>
    <pivotField showAll="0"/>
    <pivotField axis="axisRow" showAll="0">
      <items count="7">
        <item x="1"/>
        <item x="4"/>
        <item x="0"/>
        <item x="5"/>
        <item x="3"/>
        <item x="2"/>
        <item t="default"/>
      </items>
    </pivotField>
  </pivotFields>
  <rowFields count="2">
    <field x="7"/>
    <field x="1"/>
  </rowFields>
  <rowItems count="21">
    <i>
      <x/>
    </i>
    <i r="1">
      <x v="6"/>
    </i>
    <i r="1">
      <x v="9"/>
    </i>
    <i>
      <x v="1"/>
    </i>
    <i r="1">
      <x v="1"/>
    </i>
    <i r="1">
      <x v="5"/>
    </i>
    <i r="1">
      <x v="8"/>
    </i>
    <i r="1">
      <x v="9"/>
    </i>
    <i>
      <x v="2"/>
    </i>
    <i r="1">
      <x v="2"/>
    </i>
    <i r="1">
      <x v="7"/>
    </i>
    <i>
      <x v="3"/>
    </i>
    <i r="1">
      <x v="2"/>
    </i>
    <i>
      <x v="4"/>
    </i>
    <i r="1">
      <x v="4"/>
    </i>
    <i r="1">
      <x v="11"/>
    </i>
    <i>
      <x v="5"/>
    </i>
    <i r="1">
      <x/>
    </i>
    <i r="1">
      <x v="3"/>
    </i>
    <i r="1">
      <x v="10"/>
    </i>
    <i t="grand">
      <x/>
    </i>
  </rowItems>
  <colItems count="1">
    <i/>
  </colItems>
  <dataFields count="1">
    <dataField name="Součet z PLOCHA (m2)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Kontingenční tabulka2" cacheId="1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L4:M16" firstHeaderRow="1" firstDataRow="1" firstDataCol="1"/>
  <pivotFields count="9">
    <pivotField showAll="0"/>
    <pivotField showAll="0"/>
    <pivotField showAll="0" defaultSubtotal="0"/>
    <pivotField showAll="0"/>
    <pivotField axis="axisRow" showAll="0" defaultSubtotal="0">
      <items count="7">
        <item m="1" x="6"/>
        <item x="4"/>
        <item x="2"/>
        <item x="0"/>
        <item x="1"/>
        <item x="3"/>
        <item x="5"/>
      </items>
    </pivotField>
    <pivotField dataField="1" numFmtId="4" showAll="0"/>
    <pivotField showAll="0"/>
    <pivotField showAll="0" defaultSubtotal="0"/>
    <pivotField axis="axisRow" showAll="0" defaultSubtotal="0">
      <items count="3">
        <item x="2"/>
        <item x="0"/>
        <item x="1"/>
      </items>
    </pivotField>
  </pivotFields>
  <rowFields count="2">
    <field x="8"/>
    <field x="4"/>
  </rowFields>
  <rowItems count="12">
    <i>
      <x/>
    </i>
    <i r="1">
      <x v="3"/>
    </i>
    <i>
      <x v="1"/>
    </i>
    <i r="1">
      <x v="3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oučet z plocha (m2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l_bud_1pp2.dwg" connectionId="10" xr16:uid="{00000000-0016-0000-0500-000002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strecha.dwg" connectionId="8" xr16:uid="{00000000-0016-0000-0C00-000003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1np" connectionId="1" xr16:uid="{00000000-0016-0000-0C00-000004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l_bud_1pp1.dwg" connectionId="9" xr16:uid="{00000000-0016-0000-05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l_bud_1pp3.dwg" connectionId="11" xr16:uid="{00000000-0016-0000-05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1pp.dwg" connectionId="2" xr16:uid="{00000000-0016-0000-0C00-000006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3np.dwg" connectionId="5" xr16:uid="{00000000-0016-0000-0C00-000005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1pp_1" connectionId="3" xr16:uid="{00000000-0016-0000-0C00-000007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5np.dwg" connectionId="7" xr16:uid="{00000000-0016-0000-0C00-000009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4np" connectionId="6" xr16:uid="{00000000-0016-0000-0C00-00000A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F_2np.dwg" connectionId="4" xr16:uid="{00000000-0016-0000-0C00-000008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13" Type="http://schemas.openxmlformats.org/officeDocument/2006/relationships/queryTable" Target="../queryTables/queryTable8.xml"/><Relationship Id="rId3" Type="http://schemas.openxmlformats.org/officeDocument/2006/relationships/pivotTable" Target="../pivotTables/pivotTable11.xml"/><Relationship Id="rId7" Type="http://schemas.openxmlformats.org/officeDocument/2006/relationships/pivotTable" Target="../pivotTables/pivotTable15.xml"/><Relationship Id="rId12" Type="http://schemas.openxmlformats.org/officeDocument/2006/relationships/queryTable" Target="../queryTables/queryTable7.xml"/><Relationship Id="rId2" Type="http://schemas.openxmlformats.org/officeDocument/2006/relationships/pivotTable" Target="../pivotTables/pivotTable10.xml"/><Relationship Id="rId16" Type="http://schemas.openxmlformats.org/officeDocument/2006/relationships/queryTable" Target="../queryTables/queryTable11.xml"/><Relationship Id="rId1" Type="http://schemas.openxmlformats.org/officeDocument/2006/relationships/pivotTable" Target="../pivotTables/pivotTable9.xml"/><Relationship Id="rId6" Type="http://schemas.openxmlformats.org/officeDocument/2006/relationships/pivotTable" Target="../pivotTables/pivotTable14.xml"/><Relationship Id="rId11" Type="http://schemas.openxmlformats.org/officeDocument/2006/relationships/queryTable" Target="../queryTables/queryTable6.xml"/><Relationship Id="rId5" Type="http://schemas.openxmlformats.org/officeDocument/2006/relationships/pivotTable" Target="../pivotTables/pivotTable13.xml"/><Relationship Id="rId15" Type="http://schemas.openxmlformats.org/officeDocument/2006/relationships/queryTable" Target="../queryTables/queryTable10.xml"/><Relationship Id="rId10" Type="http://schemas.openxmlformats.org/officeDocument/2006/relationships/queryTable" Target="../queryTables/queryTable5.xml"/><Relationship Id="rId4" Type="http://schemas.openxmlformats.org/officeDocument/2006/relationships/pivotTable" Target="../pivotTables/pivotTable12.xml"/><Relationship Id="rId9" Type="http://schemas.openxmlformats.org/officeDocument/2006/relationships/queryTable" Target="../queryTables/queryTable4.xml"/><Relationship Id="rId14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8.xml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6" Type="http://schemas.openxmlformats.org/officeDocument/2006/relationships/printerSettings" Target="../printerSettings/printerSettings6.bin"/><Relationship Id="rId5" Type="http://schemas.openxmlformats.org/officeDocument/2006/relationships/pivotTable" Target="../pivotTables/pivotTable20.xml"/><Relationship Id="rId4" Type="http://schemas.openxmlformats.org/officeDocument/2006/relationships/pivotTable" Target="../pivotTables/pivotTable1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2.xml"/><Relationship Id="rId1" Type="http://schemas.openxmlformats.org/officeDocument/2006/relationships/pivotTable" Target="../pivotTables/pivotTable2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7"/>
  <sheetViews>
    <sheetView workbookViewId="0">
      <selection activeCell="B4" sqref="B4"/>
    </sheetView>
  </sheetViews>
  <sheetFormatPr defaultRowHeight="14.4" x14ac:dyDescent="0.3"/>
  <cols>
    <col min="1" max="1" width="28.77734375" customWidth="1"/>
    <col min="2" max="2" width="19.5546875" customWidth="1"/>
  </cols>
  <sheetData>
    <row r="1" spans="1:2" x14ac:dyDescent="0.3">
      <c r="A1" s="330" t="s">
        <v>0</v>
      </c>
      <c r="B1" s="330"/>
    </row>
    <row r="2" spans="1:2" ht="43.2" x14ac:dyDescent="0.3">
      <c r="A2" s="309" t="s">
        <v>1</v>
      </c>
      <c r="B2" s="310" t="s">
        <v>2</v>
      </c>
    </row>
    <row r="3" spans="1:2" x14ac:dyDescent="0.3">
      <c r="A3" s="306" t="s">
        <v>3</v>
      </c>
      <c r="B3" s="307">
        <f>'FAPPZ-komplet'!E125</f>
        <v>0</v>
      </c>
    </row>
    <row r="4" spans="1:2" x14ac:dyDescent="0.3">
      <c r="A4" s="306" t="s">
        <v>4</v>
      </c>
      <c r="B4" s="307">
        <f>'TF-komplet'!E172</f>
        <v>0</v>
      </c>
    </row>
    <row r="5" spans="1:2" ht="15" thickBot="1" x14ac:dyDescent="0.35">
      <c r="A5" s="331"/>
      <c r="B5" s="331"/>
    </row>
    <row r="6" spans="1:2" ht="15.6" thickTop="1" thickBot="1" x14ac:dyDescent="0.35">
      <c r="A6" s="311" t="s">
        <v>5</v>
      </c>
      <c r="B6" s="308">
        <f>SUM(B3:B4)</f>
        <v>0</v>
      </c>
    </row>
    <row r="7" spans="1:2" ht="15" thickTop="1" x14ac:dyDescent="0.3"/>
  </sheetData>
  <mergeCells count="2">
    <mergeCell ref="A1:B1"/>
    <mergeCell ref="A5: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6"/>
  <sheetViews>
    <sheetView zoomScale="80" zoomScaleNormal="80" workbookViewId="0">
      <selection activeCell="H26" sqref="H26"/>
    </sheetView>
  </sheetViews>
  <sheetFormatPr defaultColWidth="9.21875" defaultRowHeight="12.6" x14ac:dyDescent="0.2"/>
  <cols>
    <col min="1" max="1" width="9.21875" style="258"/>
    <col min="2" max="2" width="36.77734375" style="258" customWidth="1"/>
    <col min="3" max="3" width="10.77734375" style="279" customWidth="1"/>
    <col min="4" max="4" width="13.77734375" style="290" customWidth="1"/>
    <col min="5" max="7" width="20.77734375" style="291" customWidth="1"/>
    <col min="8" max="8" width="16" style="258" customWidth="1"/>
    <col min="9" max="9" width="21.21875" style="258" customWidth="1"/>
    <col min="10" max="10" width="33.21875" style="259" customWidth="1"/>
    <col min="11" max="11" width="20.77734375" style="258" bestFit="1" customWidth="1"/>
    <col min="12" max="16384" width="9.21875" style="258"/>
  </cols>
  <sheetData>
    <row r="1" spans="1:12" ht="20.100000000000001" customHeight="1" thickBot="1" x14ac:dyDescent="0.35">
      <c r="A1" s="342" t="s">
        <v>645</v>
      </c>
      <c r="B1" s="343"/>
      <c r="C1" s="343"/>
      <c r="D1" s="343"/>
      <c r="E1" s="343"/>
      <c r="F1" s="343"/>
      <c r="G1" s="344"/>
      <c r="H1" s="224"/>
      <c r="I1" s="258" t="s">
        <v>646</v>
      </c>
      <c r="J1" s="89" t="s">
        <v>68</v>
      </c>
      <c r="K1" t="s">
        <v>647</v>
      </c>
      <c r="L1"/>
    </row>
    <row r="2" spans="1:12" s="265" customFormat="1" ht="62.25" customHeight="1" thickBot="1" x14ac:dyDescent="0.35">
      <c r="A2" s="260" t="s">
        <v>648</v>
      </c>
      <c r="B2" s="261" t="s">
        <v>649</v>
      </c>
      <c r="C2" s="262" t="s">
        <v>650</v>
      </c>
      <c r="D2" s="262" t="s">
        <v>651</v>
      </c>
      <c r="E2" s="263" t="s">
        <v>652</v>
      </c>
      <c r="F2" s="264" t="s">
        <v>653</v>
      </c>
      <c r="G2" s="263" t="s">
        <v>654</v>
      </c>
      <c r="H2" s="243" t="s">
        <v>125</v>
      </c>
      <c r="J2" s="90">
        <v>0</v>
      </c>
      <c r="K2">
        <v>518.28</v>
      </c>
      <c r="L2"/>
    </row>
    <row r="3" spans="1:12" ht="14.4" x14ac:dyDescent="0.3">
      <c r="A3" s="266" t="s">
        <v>79</v>
      </c>
      <c r="B3" s="267" t="s">
        <v>655</v>
      </c>
      <c r="C3" s="268">
        <v>12.74</v>
      </c>
      <c r="D3" s="269">
        <v>3200</v>
      </c>
      <c r="E3" s="270" t="s">
        <v>656</v>
      </c>
      <c r="F3" s="270"/>
      <c r="G3" s="271" t="s">
        <v>155</v>
      </c>
      <c r="H3" s="313" t="s">
        <v>146</v>
      </c>
      <c r="J3" s="99" t="s">
        <v>657</v>
      </c>
      <c r="K3">
        <v>22.180000000000003</v>
      </c>
      <c r="L3"/>
    </row>
    <row r="4" spans="1:12" ht="14.4" x14ac:dyDescent="0.3">
      <c r="A4" s="272" t="s">
        <v>658</v>
      </c>
      <c r="B4" s="273" t="s">
        <v>659</v>
      </c>
      <c r="C4" s="274">
        <v>11.88</v>
      </c>
      <c r="D4" s="275">
        <v>3000</v>
      </c>
      <c r="E4" s="276" t="s">
        <v>656</v>
      </c>
      <c r="F4" s="276" t="s">
        <v>660</v>
      </c>
      <c r="G4" s="277" t="s">
        <v>155</v>
      </c>
      <c r="H4" s="313" t="s">
        <v>146</v>
      </c>
      <c r="J4" s="99" t="s">
        <v>661</v>
      </c>
      <c r="K4">
        <v>17.59</v>
      </c>
      <c r="L4"/>
    </row>
    <row r="5" spans="1:12" ht="14.4" x14ac:dyDescent="0.3">
      <c r="A5" s="272" t="s">
        <v>662</v>
      </c>
      <c r="B5" s="273" t="s">
        <v>657</v>
      </c>
      <c r="C5" s="274">
        <v>6.03</v>
      </c>
      <c r="D5" s="275">
        <v>3390</v>
      </c>
      <c r="E5" s="276" t="s">
        <v>656</v>
      </c>
      <c r="F5" s="276"/>
      <c r="G5" s="277"/>
      <c r="H5" s="313">
        <v>0</v>
      </c>
      <c r="J5" s="99" t="s">
        <v>663</v>
      </c>
      <c r="K5">
        <v>32.04</v>
      </c>
      <c r="L5"/>
    </row>
    <row r="6" spans="1:12" ht="14.4" x14ac:dyDescent="0.3">
      <c r="A6" s="272" t="s">
        <v>83</v>
      </c>
      <c r="B6" s="273" t="s">
        <v>664</v>
      </c>
      <c r="C6" s="274">
        <v>16.850000000000001</v>
      </c>
      <c r="D6" s="275">
        <v>3390</v>
      </c>
      <c r="E6" s="276" t="s">
        <v>665</v>
      </c>
      <c r="F6" s="276"/>
      <c r="G6" s="277"/>
      <c r="H6" s="313" t="s">
        <v>127</v>
      </c>
      <c r="J6" s="99" t="s">
        <v>666</v>
      </c>
      <c r="K6">
        <v>27.27</v>
      </c>
      <c r="L6"/>
    </row>
    <row r="7" spans="1:12" ht="14.4" x14ac:dyDescent="0.3">
      <c r="A7" s="272" t="s">
        <v>667</v>
      </c>
      <c r="B7" s="273" t="s">
        <v>664</v>
      </c>
      <c r="C7" s="274">
        <v>16.850000000000001</v>
      </c>
      <c r="D7" s="275">
        <v>3390</v>
      </c>
      <c r="E7" s="276" t="s">
        <v>665</v>
      </c>
      <c r="F7" s="276"/>
      <c r="G7" s="277"/>
      <c r="H7" s="313" t="s">
        <v>127</v>
      </c>
      <c r="J7" s="99" t="s">
        <v>668</v>
      </c>
      <c r="K7">
        <v>4.43</v>
      </c>
      <c r="L7"/>
    </row>
    <row r="8" spans="1:12" ht="14.4" x14ac:dyDescent="0.3">
      <c r="A8" s="272" t="s">
        <v>669</v>
      </c>
      <c r="B8" s="273" t="s">
        <v>664</v>
      </c>
      <c r="C8" s="274">
        <v>15.63</v>
      </c>
      <c r="D8" s="275">
        <v>3390</v>
      </c>
      <c r="E8" s="276" t="s">
        <v>665</v>
      </c>
      <c r="F8" s="276"/>
      <c r="G8" s="277"/>
      <c r="H8" s="313" t="s">
        <v>127</v>
      </c>
      <c r="J8" s="99" t="s">
        <v>670</v>
      </c>
      <c r="K8">
        <v>19.04</v>
      </c>
      <c r="L8"/>
    </row>
    <row r="9" spans="1:12" ht="14.4" x14ac:dyDescent="0.3">
      <c r="A9" s="272" t="s">
        <v>92</v>
      </c>
      <c r="B9" s="273" t="s">
        <v>671</v>
      </c>
      <c r="C9" s="274">
        <v>32.18</v>
      </c>
      <c r="D9" s="275">
        <v>3390</v>
      </c>
      <c r="E9" s="276" t="s">
        <v>665</v>
      </c>
      <c r="F9" s="276"/>
      <c r="G9" s="277"/>
      <c r="H9" s="313" t="s">
        <v>127</v>
      </c>
      <c r="J9" s="99" t="s">
        <v>672</v>
      </c>
      <c r="K9">
        <v>3.66</v>
      </c>
      <c r="L9"/>
    </row>
    <row r="10" spans="1:12" ht="14.4" x14ac:dyDescent="0.3">
      <c r="A10" s="272" t="s">
        <v>673</v>
      </c>
      <c r="B10" s="273" t="s">
        <v>663</v>
      </c>
      <c r="C10" s="274">
        <v>15.93</v>
      </c>
      <c r="D10" s="275">
        <v>3390</v>
      </c>
      <c r="E10" s="276" t="s">
        <v>665</v>
      </c>
      <c r="F10" s="276"/>
      <c r="G10" s="277"/>
      <c r="H10" s="313" t="s">
        <v>497</v>
      </c>
      <c r="J10" s="99" t="s">
        <v>674</v>
      </c>
      <c r="K10">
        <v>7.37</v>
      </c>
      <c r="L10"/>
    </row>
    <row r="11" spans="1:12" ht="14.4" x14ac:dyDescent="0.3">
      <c r="A11" s="272" t="s">
        <v>94</v>
      </c>
      <c r="B11" s="273" t="s">
        <v>675</v>
      </c>
      <c r="C11" s="274">
        <v>48.77</v>
      </c>
      <c r="D11" s="275">
        <v>3420</v>
      </c>
      <c r="E11" s="276" t="s">
        <v>676</v>
      </c>
      <c r="F11" s="276" t="s">
        <v>660</v>
      </c>
      <c r="G11" s="277"/>
      <c r="H11" s="313" t="s">
        <v>146</v>
      </c>
      <c r="J11" s="99" t="s">
        <v>677</v>
      </c>
      <c r="K11">
        <v>384.7</v>
      </c>
      <c r="L11"/>
    </row>
    <row r="12" spans="1:12" ht="14.4" x14ac:dyDescent="0.3">
      <c r="A12" s="272" t="s">
        <v>96</v>
      </c>
      <c r="B12" s="273" t="s">
        <v>678</v>
      </c>
      <c r="C12" s="274">
        <v>51.07</v>
      </c>
      <c r="D12" s="275">
        <v>3150</v>
      </c>
      <c r="E12" s="276" t="s">
        <v>665</v>
      </c>
      <c r="F12" s="276"/>
      <c r="G12" s="277" t="s">
        <v>679</v>
      </c>
      <c r="H12" s="313" t="s">
        <v>146</v>
      </c>
      <c r="J12" s="90">
        <v>1</v>
      </c>
      <c r="K12">
        <v>1198.76</v>
      </c>
      <c r="L12"/>
    </row>
    <row r="13" spans="1:12" ht="14.4" x14ac:dyDescent="0.3">
      <c r="A13" s="272" t="s">
        <v>98</v>
      </c>
      <c r="B13" s="273" t="s">
        <v>680</v>
      </c>
      <c r="C13" s="274">
        <v>40.1</v>
      </c>
      <c r="D13" s="275" t="s">
        <v>681</v>
      </c>
      <c r="E13" s="276" t="s">
        <v>656</v>
      </c>
      <c r="F13" s="276" t="s">
        <v>682</v>
      </c>
      <c r="G13" s="277"/>
      <c r="H13" s="314" t="s">
        <v>152</v>
      </c>
      <c r="I13" s="345" t="s">
        <v>683</v>
      </c>
      <c r="J13" s="99" t="s">
        <v>684</v>
      </c>
      <c r="K13">
        <v>69.08</v>
      </c>
      <c r="L13"/>
    </row>
    <row r="14" spans="1:12" ht="14.4" x14ac:dyDescent="0.3">
      <c r="A14" s="272" t="s">
        <v>685</v>
      </c>
      <c r="B14" s="273" t="s">
        <v>686</v>
      </c>
      <c r="C14" s="274">
        <v>14.7</v>
      </c>
      <c r="D14" s="275">
        <v>2620</v>
      </c>
      <c r="E14" s="276" t="s">
        <v>656</v>
      </c>
      <c r="F14" s="276" t="s">
        <v>687</v>
      </c>
      <c r="G14" s="277"/>
      <c r="H14" s="314" t="s">
        <v>152</v>
      </c>
      <c r="I14" s="346"/>
      <c r="J14" s="99" t="s">
        <v>688</v>
      </c>
      <c r="K14">
        <v>18.2</v>
      </c>
      <c r="L14"/>
    </row>
    <row r="15" spans="1:12" ht="14.4" x14ac:dyDescent="0.3">
      <c r="A15" s="272" t="s">
        <v>689</v>
      </c>
      <c r="B15" s="273" t="s">
        <v>690</v>
      </c>
      <c r="C15" s="274">
        <v>22.2</v>
      </c>
      <c r="D15" s="275">
        <v>2610</v>
      </c>
      <c r="E15" s="276" t="s">
        <v>656</v>
      </c>
      <c r="F15" s="276" t="s">
        <v>691</v>
      </c>
      <c r="G15" s="277"/>
      <c r="H15" s="314" t="s">
        <v>152</v>
      </c>
      <c r="I15" s="346"/>
      <c r="J15" s="99" t="s">
        <v>692</v>
      </c>
      <c r="K15">
        <v>31.8</v>
      </c>
      <c r="L15"/>
    </row>
    <row r="16" spans="1:12" ht="14.4" x14ac:dyDescent="0.3">
      <c r="A16" s="272" t="s">
        <v>693</v>
      </c>
      <c r="B16" s="273" t="s">
        <v>694</v>
      </c>
      <c r="C16" s="274">
        <v>17.5</v>
      </c>
      <c r="D16" s="275" t="s">
        <v>695</v>
      </c>
      <c r="E16" s="276" t="s">
        <v>656</v>
      </c>
      <c r="F16" s="276" t="s">
        <v>696</v>
      </c>
      <c r="G16" s="277"/>
      <c r="H16" s="314" t="s">
        <v>152</v>
      </c>
      <c r="I16" s="346"/>
      <c r="J16" s="99" t="s">
        <v>697</v>
      </c>
      <c r="K16">
        <v>31.24</v>
      </c>
      <c r="L16"/>
    </row>
    <row r="17" spans="1:12" ht="14.4" x14ac:dyDescent="0.3">
      <c r="A17" s="272" t="s">
        <v>698</v>
      </c>
      <c r="B17" s="273" t="s">
        <v>699</v>
      </c>
      <c r="C17" s="274">
        <v>4.5999999999999996</v>
      </c>
      <c r="D17" s="275">
        <v>2740</v>
      </c>
      <c r="E17" s="276" t="s">
        <v>656</v>
      </c>
      <c r="F17" s="276" t="s">
        <v>700</v>
      </c>
      <c r="G17" s="277"/>
      <c r="H17" s="314" t="s">
        <v>152</v>
      </c>
      <c r="I17" s="346"/>
      <c r="J17" s="99" t="s">
        <v>701</v>
      </c>
      <c r="K17">
        <v>21.2</v>
      </c>
      <c r="L17"/>
    </row>
    <row r="18" spans="1:12" ht="14.4" x14ac:dyDescent="0.3">
      <c r="A18" s="272" t="s">
        <v>702</v>
      </c>
      <c r="B18" s="273" t="s">
        <v>703</v>
      </c>
      <c r="C18" s="274">
        <v>52</v>
      </c>
      <c r="D18" s="275" t="s">
        <v>704</v>
      </c>
      <c r="E18" s="276" t="s">
        <v>656</v>
      </c>
      <c r="F18" s="276"/>
      <c r="G18" s="277"/>
      <c r="H18" s="314" t="s">
        <v>152</v>
      </c>
      <c r="I18" s="346"/>
      <c r="J18" s="99" t="s">
        <v>705</v>
      </c>
      <c r="K18">
        <v>31.97</v>
      </c>
      <c r="L18"/>
    </row>
    <row r="19" spans="1:12" ht="14.4" x14ac:dyDescent="0.3">
      <c r="A19" s="272" t="s">
        <v>706</v>
      </c>
      <c r="B19" s="273" t="s">
        <v>703</v>
      </c>
      <c r="C19" s="274">
        <v>17.47</v>
      </c>
      <c r="D19" s="275">
        <v>2850</v>
      </c>
      <c r="E19" s="276" t="s">
        <v>656</v>
      </c>
      <c r="F19" s="276"/>
      <c r="G19" s="277"/>
      <c r="H19" s="314" t="s">
        <v>152</v>
      </c>
      <c r="I19" s="346"/>
      <c r="J19" s="99" t="s">
        <v>677</v>
      </c>
      <c r="K19">
        <v>995.27</v>
      </c>
    </row>
    <row r="20" spans="1:12" ht="14.4" x14ac:dyDescent="0.3">
      <c r="A20" s="272" t="s">
        <v>100</v>
      </c>
      <c r="B20" s="273" t="s">
        <v>701</v>
      </c>
      <c r="C20" s="274">
        <v>15.44</v>
      </c>
      <c r="D20" s="275">
        <v>2850</v>
      </c>
      <c r="E20" s="276" t="s">
        <v>707</v>
      </c>
      <c r="F20" s="276" t="s">
        <v>676</v>
      </c>
      <c r="G20" s="277" t="s">
        <v>155</v>
      </c>
      <c r="H20" s="313" t="s">
        <v>331</v>
      </c>
      <c r="J20" s="90">
        <v>2</v>
      </c>
      <c r="K20">
        <v>296.20999999999998</v>
      </c>
    </row>
    <row r="21" spans="1:12" ht="14.4" x14ac:dyDescent="0.3">
      <c r="A21" s="272" t="s">
        <v>102</v>
      </c>
      <c r="B21" s="273" t="s">
        <v>677</v>
      </c>
      <c r="C21" s="274">
        <v>384.7</v>
      </c>
      <c r="D21" s="275">
        <v>6550</v>
      </c>
      <c r="E21" s="276" t="s">
        <v>676</v>
      </c>
      <c r="F21" s="276"/>
      <c r="G21" s="277"/>
      <c r="H21" s="313">
        <v>0</v>
      </c>
      <c r="J21" s="99" t="s">
        <v>708</v>
      </c>
      <c r="K21">
        <v>234.34999999999997</v>
      </c>
    </row>
    <row r="22" spans="1:12" ht="14.4" x14ac:dyDescent="0.3">
      <c r="A22" s="272" t="s">
        <v>709</v>
      </c>
      <c r="B22" s="273" t="s">
        <v>710</v>
      </c>
      <c r="C22" s="274">
        <v>21.63</v>
      </c>
      <c r="D22" s="275">
        <v>2780</v>
      </c>
      <c r="E22" s="276" t="s">
        <v>676</v>
      </c>
      <c r="F22" s="276"/>
      <c r="G22" s="277" t="s">
        <v>711</v>
      </c>
      <c r="H22" s="314" t="s">
        <v>152</v>
      </c>
      <c r="J22" s="99" t="s">
        <v>663</v>
      </c>
      <c r="K22">
        <v>15.93</v>
      </c>
    </row>
    <row r="23" spans="1:12" ht="14.4" x14ac:dyDescent="0.3">
      <c r="A23" s="272" t="s">
        <v>712</v>
      </c>
      <c r="B23" s="273" t="s">
        <v>710</v>
      </c>
      <c r="C23" s="274">
        <v>34.5</v>
      </c>
      <c r="D23" s="275">
        <v>2780</v>
      </c>
      <c r="E23" s="276" t="s">
        <v>676</v>
      </c>
      <c r="F23" s="276"/>
      <c r="G23" s="277" t="s">
        <v>711</v>
      </c>
      <c r="H23" s="314" t="s">
        <v>152</v>
      </c>
      <c r="J23" s="99" t="s">
        <v>674</v>
      </c>
      <c r="K23">
        <v>45.93</v>
      </c>
    </row>
    <row r="24" spans="1:12" ht="14.4" x14ac:dyDescent="0.3">
      <c r="A24" s="272" t="s">
        <v>104</v>
      </c>
      <c r="B24" s="273" t="s">
        <v>677</v>
      </c>
      <c r="C24" s="274">
        <v>279.49</v>
      </c>
      <c r="D24" s="275">
        <v>6550</v>
      </c>
      <c r="E24" s="276" t="s">
        <v>676</v>
      </c>
      <c r="F24" s="276"/>
      <c r="G24" s="277"/>
      <c r="H24" s="313" t="s">
        <v>331</v>
      </c>
      <c r="J24" s="90">
        <v>3</v>
      </c>
      <c r="K24">
        <v>1098.49</v>
      </c>
    </row>
    <row r="25" spans="1:12" ht="14.4" x14ac:dyDescent="0.3">
      <c r="A25" s="272" t="s">
        <v>713</v>
      </c>
      <c r="B25" s="273" t="s">
        <v>708</v>
      </c>
      <c r="C25" s="274">
        <v>10.54</v>
      </c>
      <c r="D25" s="275">
        <v>2920</v>
      </c>
      <c r="E25" s="276" t="s">
        <v>676</v>
      </c>
      <c r="F25" s="276"/>
      <c r="G25" s="277" t="s">
        <v>711</v>
      </c>
      <c r="H25" s="313" t="s">
        <v>497</v>
      </c>
      <c r="J25" s="99" t="s">
        <v>664</v>
      </c>
      <c r="K25">
        <v>344.46999999999997</v>
      </c>
    </row>
    <row r="26" spans="1:12" ht="14.4" x14ac:dyDescent="0.3">
      <c r="A26" s="272" t="s">
        <v>106</v>
      </c>
      <c r="B26" s="273" t="s">
        <v>670</v>
      </c>
      <c r="C26" s="274">
        <v>19.04</v>
      </c>
      <c r="D26" s="275">
        <v>2930</v>
      </c>
      <c r="E26" s="276" t="s">
        <v>665</v>
      </c>
      <c r="F26" s="276"/>
      <c r="G26" s="277" t="s">
        <v>711</v>
      </c>
      <c r="H26" s="313">
        <v>0</v>
      </c>
      <c r="J26" s="99" t="s">
        <v>714</v>
      </c>
      <c r="K26">
        <v>14.8</v>
      </c>
    </row>
    <row r="27" spans="1:12" ht="14.4" x14ac:dyDescent="0.3">
      <c r="A27" s="272" t="s">
        <v>108</v>
      </c>
      <c r="B27" s="273" t="s">
        <v>688</v>
      </c>
      <c r="C27" s="274">
        <v>18.2</v>
      </c>
      <c r="D27" s="275">
        <v>2910</v>
      </c>
      <c r="E27" s="276" t="s">
        <v>665</v>
      </c>
      <c r="F27" s="276"/>
      <c r="G27" s="277" t="s">
        <v>711</v>
      </c>
      <c r="H27" s="313" t="s">
        <v>331</v>
      </c>
      <c r="J27" s="99" t="s">
        <v>684</v>
      </c>
      <c r="K27">
        <v>493.94000000000005</v>
      </c>
    </row>
    <row r="28" spans="1:12" ht="14.4" x14ac:dyDescent="0.3">
      <c r="A28" s="272" t="s">
        <v>110</v>
      </c>
      <c r="B28" s="273" t="s">
        <v>677</v>
      </c>
      <c r="C28" s="274">
        <v>261.75</v>
      </c>
      <c r="D28" s="275">
        <v>6550</v>
      </c>
      <c r="E28" s="276" t="s">
        <v>676</v>
      </c>
      <c r="F28" s="276"/>
      <c r="G28" s="277"/>
      <c r="H28" s="313" t="s">
        <v>331</v>
      </c>
      <c r="J28" s="99" t="s">
        <v>671</v>
      </c>
      <c r="K28">
        <v>32.18</v>
      </c>
    </row>
    <row r="29" spans="1:12" ht="14.4" x14ac:dyDescent="0.3">
      <c r="A29" s="272" t="s">
        <v>715</v>
      </c>
      <c r="B29" s="273" t="s">
        <v>710</v>
      </c>
      <c r="C29" s="274">
        <v>11.63</v>
      </c>
      <c r="D29" s="275">
        <v>2680</v>
      </c>
      <c r="E29" s="276" t="s">
        <v>665</v>
      </c>
      <c r="F29" s="276"/>
      <c r="G29" s="277" t="s">
        <v>711</v>
      </c>
      <c r="H29" s="314" t="s">
        <v>152</v>
      </c>
      <c r="J29" s="99" t="s">
        <v>716</v>
      </c>
      <c r="K29">
        <v>15.55</v>
      </c>
    </row>
    <row r="30" spans="1:12" ht="14.4" x14ac:dyDescent="0.3">
      <c r="A30" s="272" t="s">
        <v>717</v>
      </c>
      <c r="B30" s="273" t="s">
        <v>710</v>
      </c>
      <c r="C30" s="274">
        <v>17.57</v>
      </c>
      <c r="D30" s="275">
        <v>2680</v>
      </c>
      <c r="E30" s="276" t="s">
        <v>665</v>
      </c>
      <c r="F30" s="276"/>
      <c r="G30" s="277" t="s">
        <v>711</v>
      </c>
      <c r="H30" s="314" t="s">
        <v>152</v>
      </c>
      <c r="J30" s="99" t="s">
        <v>718</v>
      </c>
      <c r="K30">
        <v>31.8</v>
      </c>
    </row>
    <row r="31" spans="1:12" ht="14.4" x14ac:dyDescent="0.3">
      <c r="A31" s="272" t="s">
        <v>719</v>
      </c>
      <c r="B31" s="273" t="s">
        <v>701</v>
      </c>
      <c r="C31" s="274">
        <v>5.76</v>
      </c>
      <c r="D31" s="275">
        <v>2660</v>
      </c>
      <c r="E31" s="276" t="s">
        <v>665</v>
      </c>
      <c r="F31" s="276"/>
      <c r="G31" s="277"/>
      <c r="H31" s="313" t="s">
        <v>331</v>
      </c>
      <c r="J31" s="99" t="s">
        <v>692</v>
      </c>
      <c r="K31">
        <v>18.29</v>
      </c>
    </row>
    <row r="32" spans="1:12" ht="14.4" x14ac:dyDescent="0.3">
      <c r="A32" s="272" t="s">
        <v>114</v>
      </c>
      <c r="B32" s="273" t="s">
        <v>710</v>
      </c>
      <c r="C32" s="274">
        <v>17.93</v>
      </c>
      <c r="D32" s="275">
        <v>2660</v>
      </c>
      <c r="E32" s="276" t="s">
        <v>665</v>
      </c>
      <c r="F32" s="276"/>
      <c r="G32" s="277" t="s">
        <v>711</v>
      </c>
      <c r="H32" s="314" t="s">
        <v>152</v>
      </c>
      <c r="J32" s="99" t="s">
        <v>720</v>
      </c>
      <c r="K32">
        <v>17.28</v>
      </c>
    </row>
    <row r="33" spans="1:11" ht="14.4" x14ac:dyDescent="0.3">
      <c r="A33" s="272" t="s">
        <v>116</v>
      </c>
      <c r="B33" s="273" t="s">
        <v>677</v>
      </c>
      <c r="C33" s="274">
        <v>129.25</v>
      </c>
      <c r="D33" s="275">
        <v>6550</v>
      </c>
      <c r="E33" s="276" t="s">
        <v>676</v>
      </c>
      <c r="F33" s="276"/>
      <c r="G33" s="277"/>
      <c r="H33" s="313" t="s">
        <v>331</v>
      </c>
      <c r="J33" s="99" t="s">
        <v>710</v>
      </c>
      <c r="K33">
        <v>6.79</v>
      </c>
    </row>
    <row r="34" spans="1:11" ht="14.4" x14ac:dyDescent="0.3">
      <c r="A34" s="272" t="s">
        <v>721</v>
      </c>
      <c r="B34" s="273" t="s">
        <v>684</v>
      </c>
      <c r="C34" s="274">
        <v>9.35</v>
      </c>
      <c r="D34" s="275">
        <v>3060</v>
      </c>
      <c r="E34" s="276" t="s">
        <v>676</v>
      </c>
      <c r="F34" s="276"/>
      <c r="G34" s="277"/>
      <c r="H34" s="313" t="s">
        <v>127</v>
      </c>
      <c r="J34" s="99" t="s">
        <v>722</v>
      </c>
      <c r="K34">
        <v>74.260000000000005</v>
      </c>
    </row>
    <row r="35" spans="1:11" ht="14.4" x14ac:dyDescent="0.3">
      <c r="A35" s="272" t="s">
        <v>723</v>
      </c>
      <c r="B35" s="273" t="s">
        <v>684</v>
      </c>
      <c r="C35" s="274">
        <v>16.149999999999999</v>
      </c>
      <c r="D35" s="275">
        <v>3070</v>
      </c>
      <c r="E35" s="276" t="s">
        <v>676</v>
      </c>
      <c r="F35" s="276"/>
      <c r="G35" s="277"/>
      <c r="H35" s="313" t="s">
        <v>127</v>
      </c>
      <c r="J35" s="99" t="s">
        <v>724</v>
      </c>
      <c r="K35">
        <v>49.13</v>
      </c>
    </row>
    <row r="36" spans="1:11" ht="14.4" x14ac:dyDescent="0.3">
      <c r="A36" s="272" t="s">
        <v>725</v>
      </c>
      <c r="B36" s="273" t="s">
        <v>674</v>
      </c>
      <c r="C36" s="274">
        <v>7.37</v>
      </c>
      <c r="D36" s="275">
        <v>3080</v>
      </c>
      <c r="E36" s="276" t="s">
        <v>676</v>
      </c>
      <c r="F36" s="276"/>
      <c r="G36" s="277"/>
      <c r="H36" s="313">
        <v>0</v>
      </c>
      <c r="J36" s="90">
        <v>5</v>
      </c>
      <c r="K36">
        <v>1400.4499999999998</v>
      </c>
    </row>
    <row r="37" spans="1:11" ht="14.4" x14ac:dyDescent="0.3">
      <c r="A37" s="272" t="s">
        <v>726</v>
      </c>
      <c r="B37" s="273" t="s">
        <v>710</v>
      </c>
      <c r="C37" s="274">
        <v>4.01</v>
      </c>
      <c r="D37" s="275">
        <v>3090</v>
      </c>
      <c r="E37" s="276" t="s">
        <v>676</v>
      </c>
      <c r="F37" s="276"/>
      <c r="G37" s="277"/>
      <c r="H37" s="314" t="s">
        <v>152</v>
      </c>
      <c r="J37" s="99" t="s">
        <v>727</v>
      </c>
      <c r="K37">
        <v>842.14999999999986</v>
      </c>
    </row>
    <row r="38" spans="1:11" ht="14.4" x14ac:dyDescent="0.3">
      <c r="A38" s="272" t="s">
        <v>728</v>
      </c>
      <c r="B38" s="273" t="s">
        <v>684</v>
      </c>
      <c r="C38" s="274">
        <v>39.450000000000003</v>
      </c>
      <c r="D38" s="275">
        <v>3100</v>
      </c>
      <c r="E38" s="276" t="s">
        <v>676</v>
      </c>
      <c r="F38" s="276"/>
      <c r="G38" s="277"/>
      <c r="H38" s="313" t="s">
        <v>127</v>
      </c>
      <c r="J38" s="99" t="s">
        <v>675</v>
      </c>
      <c r="K38">
        <v>48.77</v>
      </c>
    </row>
    <row r="39" spans="1:11" ht="14.4" x14ac:dyDescent="0.3">
      <c r="A39" s="272" t="s">
        <v>117</v>
      </c>
      <c r="B39" s="273" t="s">
        <v>677</v>
      </c>
      <c r="C39" s="274">
        <v>324.77999999999997</v>
      </c>
      <c r="D39" s="275">
        <v>6550</v>
      </c>
      <c r="E39" s="276" t="s">
        <v>676</v>
      </c>
      <c r="F39" s="276"/>
      <c r="G39" s="277"/>
      <c r="H39" s="313" t="s">
        <v>331</v>
      </c>
      <c r="J39" s="99" t="s">
        <v>655</v>
      </c>
      <c r="K39">
        <v>25.22</v>
      </c>
    </row>
    <row r="40" spans="1:11" ht="14.4" x14ac:dyDescent="0.3">
      <c r="A40" s="272" t="s">
        <v>729</v>
      </c>
      <c r="B40" s="273" t="s">
        <v>722</v>
      </c>
      <c r="C40" s="274">
        <v>74.260000000000005</v>
      </c>
      <c r="D40" s="275">
        <v>3400</v>
      </c>
      <c r="E40" s="276" t="s">
        <v>676</v>
      </c>
      <c r="F40" s="276"/>
      <c r="G40" s="277"/>
      <c r="H40" s="313" t="s">
        <v>127</v>
      </c>
      <c r="I40" s="258" t="s">
        <v>730</v>
      </c>
      <c r="J40" s="99" t="s">
        <v>678</v>
      </c>
      <c r="K40">
        <v>361.42999999999995</v>
      </c>
    </row>
    <row r="41" spans="1:11" ht="14.4" x14ac:dyDescent="0.3">
      <c r="A41" s="272" t="s">
        <v>731</v>
      </c>
      <c r="B41" s="273" t="s">
        <v>724</v>
      </c>
      <c r="C41" s="274">
        <v>49.13</v>
      </c>
      <c r="D41" s="275">
        <v>3520</v>
      </c>
      <c r="E41" s="276" t="s">
        <v>676</v>
      </c>
      <c r="F41" s="276"/>
      <c r="G41" s="277"/>
      <c r="H41" s="313" t="s">
        <v>127</v>
      </c>
      <c r="J41" s="99" t="s">
        <v>732</v>
      </c>
      <c r="K41">
        <v>48.77</v>
      </c>
    </row>
    <row r="42" spans="1:11" ht="14.4" x14ac:dyDescent="0.3">
      <c r="A42" s="272" t="s">
        <v>733</v>
      </c>
      <c r="B42" s="273" t="s">
        <v>710</v>
      </c>
      <c r="C42" s="274">
        <v>6.79</v>
      </c>
      <c r="D42" s="275">
        <v>3400</v>
      </c>
      <c r="E42" s="276" t="s">
        <v>665</v>
      </c>
      <c r="F42" s="276"/>
      <c r="G42" s="277"/>
      <c r="H42" s="314" t="s">
        <v>127</v>
      </c>
      <c r="J42" s="99" t="s">
        <v>659</v>
      </c>
      <c r="K42">
        <v>23.560000000000002</v>
      </c>
    </row>
    <row r="43" spans="1:11" ht="14.4" x14ac:dyDescent="0.3">
      <c r="A43" s="272" t="s">
        <v>119</v>
      </c>
      <c r="B43" s="273" t="s">
        <v>718</v>
      </c>
      <c r="C43" s="274">
        <v>31.8</v>
      </c>
      <c r="D43" s="275">
        <v>3380</v>
      </c>
      <c r="E43" s="276" t="s">
        <v>676</v>
      </c>
      <c r="F43" s="276"/>
      <c r="G43" s="277"/>
      <c r="H43" s="313" t="s">
        <v>127</v>
      </c>
      <c r="J43" s="99" t="s">
        <v>734</v>
      </c>
      <c r="K43">
        <v>27.41</v>
      </c>
    </row>
    <row r="44" spans="1:11" ht="14.4" x14ac:dyDescent="0.3">
      <c r="A44" s="272" t="s">
        <v>121</v>
      </c>
      <c r="B44" s="273" t="s">
        <v>718</v>
      </c>
      <c r="C44" s="274">
        <v>47.7</v>
      </c>
      <c r="D44" s="275">
        <v>3390</v>
      </c>
      <c r="E44" s="276" t="s">
        <v>735</v>
      </c>
      <c r="F44" s="276" t="s">
        <v>736</v>
      </c>
      <c r="G44" s="277" t="s">
        <v>736</v>
      </c>
      <c r="H44" s="313" t="s">
        <v>152</v>
      </c>
      <c r="J44" s="99" t="s">
        <v>737</v>
      </c>
      <c r="K44">
        <v>23.14</v>
      </c>
    </row>
    <row r="45" spans="1:11" ht="14.4" x14ac:dyDescent="0.3">
      <c r="A45" s="272" t="s">
        <v>738</v>
      </c>
      <c r="B45" s="273" t="s">
        <v>697</v>
      </c>
      <c r="C45" s="274">
        <v>31.24</v>
      </c>
      <c r="D45" s="275">
        <v>3400</v>
      </c>
      <c r="E45" s="276" t="s">
        <v>676</v>
      </c>
      <c r="F45" s="276"/>
      <c r="G45" s="277"/>
      <c r="H45" s="313" t="s">
        <v>331</v>
      </c>
      <c r="J45" s="90" t="s">
        <v>152</v>
      </c>
      <c r="K45">
        <v>395.69999999999993</v>
      </c>
    </row>
    <row r="46" spans="1:11" ht="14.4" x14ac:dyDescent="0.3">
      <c r="A46" s="272" t="s">
        <v>739</v>
      </c>
      <c r="B46" s="273" t="s">
        <v>716</v>
      </c>
      <c r="C46" s="274">
        <v>15.55</v>
      </c>
      <c r="D46" s="275">
        <v>3400</v>
      </c>
      <c r="E46" s="276" t="s">
        <v>665</v>
      </c>
      <c r="F46" s="276"/>
      <c r="G46" s="277"/>
      <c r="H46" s="313" t="s">
        <v>127</v>
      </c>
      <c r="J46" s="99" t="s">
        <v>694</v>
      </c>
      <c r="K46">
        <v>17.5</v>
      </c>
    </row>
    <row r="47" spans="1:11" ht="14.4" x14ac:dyDescent="0.3">
      <c r="A47" s="272" t="s">
        <v>740</v>
      </c>
      <c r="B47" s="273" t="s">
        <v>684</v>
      </c>
      <c r="C47" s="274">
        <v>32.619999999999997</v>
      </c>
      <c r="D47" s="275">
        <v>3200</v>
      </c>
      <c r="E47" s="276" t="s">
        <v>665</v>
      </c>
      <c r="F47" s="276"/>
      <c r="G47" s="277" t="s">
        <v>679</v>
      </c>
      <c r="H47" s="313" t="s">
        <v>127</v>
      </c>
      <c r="J47" s="99" t="s">
        <v>699</v>
      </c>
      <c r="K47">
        <v>4.5999999999999996</v>
      </c>
    </row>
    <row r="48" spans="1:11" ht="14.4" x14ac:dyDescent="0.3">
      <c r="A48" s="272" t="s">
        <v>741</v>
      </c>
      <c r="B48" s="273" t="s">
        <v>655</v>
      </c>
      <c r="C48" s="274">
        <v>12.48</v>
      </c>
      <c r="D48" s="275">
        <v>3200</v>
      </c>
      <c r="E48" s="276" t="s">
        <v>656</v>
      </c>
      <c r="F48" s="276"/>
      <c r="G48" s="277" t="s">
        <v>155</v>
      </c>
      <c r="H48" s="313" t="s">
        <v>146</v>
      </c>
      <c r="J48" s="99" t="s">
        <v>686</v>
      </c>
      <c r="K48">
        <v>14.7</v>
      </c>
    </row>
    <row r="49" spans="1:11" ht="14.4" x14ac:dyDescent="0.3">
      <c r="A49" s="272" t="s">
        <v>742</v>
      </c>
      <c r="B49" s="273" t="s">
        <v>659</v>
      </c>
      <c r="C49" s="274">
        <v>11.68</v>
      </c>
      <c r="D49" s="275">
        <v>3000</v>
      </c>
      <c r="E49" s="276" t="s">
        <v>656</v>
      </c>
      <c r="F49" s="276" t="s">
        <v>660</v>
      </c>
      <c r="G49" s="277" t="s">
        <v>155</v>
      </c>
      <c r="H49" s="313" t="s">
        <v>146</v>
      </c>
      <c r="J49" s="99" t="s">
        <v>718</v>
      </c>
      <c r="K49">
        <v>47.7</v>
      </c>
    </row>
    <row r="50" spans="1:11" ht="14.4" x14ac:dyDescent="0.3">
      <c r="A50" s="272" t="s">
        <v>743</v>
      </c>
      <c r="B50" s="273" t="s">
        <v>657</v>
      </c>
      <c r="C50" s="274">
        <v>5.96</v>
      </c>
      <c r="D50" s="275">
        <v>3200</v>
      </c>
      <c r="E50" s="276" t="s">
        <v>656</v>
      </c>
      <c r="F50" s="276"/>
      <c r="G50" s="277" t="s">
        <v>155</v>
      </c>
      <c r="H50" s="313">
        <v>0</v>
      </c>
      <c r="J50" s="99" t="s">
        <v>690</v>
      </c>
      <c r="K50">
        <v>22.2</v>
      </c>
    </row>
    <row r="51" spans="1:11" ht="14.4" x14ac:dyDescent="0.3">
      <c r="A51" s="272" t="s">
        <v>744</v>
      </c>
      <c r="B51" s="273" t="s">
        <v>684</v>
      </c>
      <c r="C51" s="274">
        <v>15.63</v>
      </c>
      <c r="D51" s="275">
        <v>3200</v>
      </c>
      <c r="E51" s="276" t="s">
        <v>665</v>
      </c>
      <c r="F51" s="276"/>
      <c r="G51" s="277" t="s">
        <v>679</v>
      </c>
      <c r="H51" s="313" t="s">
        <v>127</v>
      </c>
      <c r="J51" s="99" t="s">
        <v>680</v>
      </c>
      <c r="K51">
        <v>40.1</v>
      </c>
    </row>
    <row r="52" spans="1:11" ht="14.4" x14ac:dyDescent="0.3">
      <c r="A52" s="272" t="s">
        <v>745</v>
      </c>
      <c r="B52" s="273" t="s">
        <v>664</v>
      </c>
      <c r="C52" s="274">
        <v>22.35</v>
      </c>
      <c r="D52" s="275">
        <v>3200</v>
      </c>
      <c r="E52" s="276" t="s">
        <v>665</v>
      </c>
      <c r="F52" s="276"/>
      <c r="G52" s="277" t="s">
        <v>679</v>
      </c>
      <c r="H52" s="313" t="s">
        <v>127</v>
      </c>
      <c r="J52" s="99" t="s">
        <v>710</v>
      </c>
      <c r="K52">
        <v>158.51</v>
      </c>
    </row>
    <row r="53" spans="1:11" ht="14.4" x14ac:dyDescent="0.3">
      <c r="A53" s="272" t="s">
        <v>746</v>
      </c>
      <c r="B53" s="273" t="s">
        <v>747</v>
      </c>
      <c r="C53" s="274">
        <v>8.5299999999999994</v>
      </c>
      <c r="D53" s="275">
        <v>3200</v>
      </c>
      <c r="E53" s="276" t="s">
        <v>665</v>
      </c>
      <c r="F53" s="276"/>
      <c r="G53" s="277" t="s">
        <v>679</v>
      </c>
      <c r="H53" s="313" t="s">
        <v>152</v>
      </c>
      <c r="J53" s="99" t="s">
        <v>748</v>
      </c>
      <c r="K53">
        <v>12.39</v>
      </c>
    </row>
    <row r="54" spans="1:11" ht="14.4" x14ac:dyDescent="0.3">
      <c r="A54" s="272" t="s">
        <v>749</v>
      </c>
      <c r="B54" s="273" t="s">
        <v>684</v>
      </c>
      <c r="C54" s="274">
        <v>32</v>
      </c>
      <c r="D54" s="275">
        <v>3200</v>
      </c>
      <c r="E54" s="276" t="s">
        <v>665</v>
      </c>
      <c r="F54" s="276"/>
      <c r="G54" s="277" t="s">
        <v>679</v>
      </c>
      <c r="H54" s="313" t="s">
        <v>127</v>
      </c>
      <c r="J54" s="99" t="s">
        <v>703</v>
      </c>
      <c r="K54">
        <v>69.47</v>
      </c>
    </row>
    <row r="55" spans="1:11" ht="14.4" x14ac:dyDescent="0.3">
      <c r="A55" s="272" t="s">
        <v>750</v>
      </c>
      <c r="B55" s="273" t="s">
        <v>684</v>
      </c>
      <c r="C55" s="274">
        <v>48.19</v>
      </c>
      <c r="D55" s="275">
        <v>3200</v>
      </c>
      <c r="E55" s="276" t="s">
        <v>676</v>
      </c>
      <c r="F55" s="276"/>
      <c r="G55" s="277" t="s">
        <v>679</v>
      </c>
      <c r="H55" s="313" t="s">
        <v>127</v>
      </c>
      <c r="J55" s="99" t="s">
        <v>747</v>
      </c>
      <c r="K55">
        <v>8.5299999999999994</v>
      </c>
    </row>
    <row r="56" spans="1:11" ht="14.4" x14ac:dyDescent="0.3">
      <c r="A56" s="272" t="s">
        <v>751</v>
      </c>
      <c r="B56" s="273" t="s">
        <v>684</v>
      </c>
      <c r="C56" s="274">
        <v>15.58</v>
      </c>
      <c r="D56" s="275">
        <v>3200</v>
      </c>
      <c r="E56" s="276" t="s">
        <v>665</v>
      </c>
      <c r="F56" s="276"/>
      <c r="G56" s="277" t="s">
        <v>679</v>
      </c>
      <c r="H56" s="313" t="s">
        <v>127</v>
      </c>
      <c r="J56" s="90" t="s">
        <v>122</v>
      </c>
      <c r="K56">
        <v>4907.8900000000021</v>
      </c>
    </row>
    <row r="57" spans="1:11" ht="14.4" x14ac:dyDescent="0.3">
      <c r="A57" s="272" t="s">
        <v>752</v>
      </c>
      <c r="B57" s="273" t="s">
        <v>684</v>
      </c>
      <c r="C57" s="274">
        <v>31.15</v>
      </c>
      <c r="D57" s="275">
        <v>3200</v>
      </c>
      <c r="E57" s="276" t="s">
        <v>676</v>
      </c>
      <c r="F57" s="276"/>
      <c r="G57" s="277" t="s">
        <v>679</v>
      </c>
      <c r="H57" s="313" t="s">
        <v>127</v>
      </c>
    </row>
    <row r="58" spans="1:11" ht="13.2" x14ac:dyDescent="0.25">
      <c r="A58" s="272" t="s">
        <v>753</v>
      </c>
      <c r="B58" s="273" t="s">
        <v>710</v>
      </c>
      <c r="C58" s="274">
        <v>15.5</v>
      </c>
      <c r="D58" s="275">
        <v>3200</v>
      </c>
      <c r="E58" s="276" t="s">
        <v>676</v>
      </c>
      <c r="F58" s="276"/>
      <c r="G58" s="277" t="s">
        <v>679</v>
      </c>
      <c r="H58" s="314" t="s">
        <v>152</v>
      </c>
    </row>
    <row r="59" spans="1:11" ht="14.4" x14ac:dyDescent="0.3">
      <c r="A59" s="272" t="s">
        <v>754</v>
      </c>
      <c r="B59" s="273" t="s">
        <v>684</v>
      </c>
      <c r="C59" s="274">
        <v>15.73</v>
      </c>
      <c r="D59" s="275">
        <v>3200</v>
      </c>
      <c r="E59" s="276" t="s">
        <v>656</v>
      </c>
      <c r="F59" s="276"/>
      <c r="G59" s="277" t="s">
        <v>679</v>
      </c>
      <c r="H59" s="313" t="s">
        <v>127</v>
      </c>
    </row>
    <row r="60" spans="1:11" ht="14.4" x14ac:dyDescent="0.3">
      <c r="A60" s="272" t="s">
        <v>755</v>
      </c>
      <c r="B60" s="273" t="s">
        <v>737</v>
      </c>
      <c r="C60" s="274">
        <v>12.11</v>
      </c>
      <c r="D60" s="275">
        <v>3000</v>
      </c>
      <c r="E60" s="276" t="s">
        <v>656</v>
      </c>
      <c r="F60" s="276" t="s">
        <v>660</v>
      </c>
      <c r="G60" s="277" t="s">
        <v>155</v>
      </c>
      <c r="H60" s="313" t="s">
        <v>146</v>
      </c>
    </row>
    <row r="61" spans="1:11" ht="14.4" x14ac:dyDescent="0.3">
      <c r="A61" s="272" t="s">
        <v>756</v>
      </c>
      <c r="B61" s="273" t="s">
        <v>734</v>
      </c>
      <c r="C61" s="274">
        <v>9.98</v>
      </c>
      <c r="D61" s="275">
        <v>3000</v>
      </c>
      <c r="E61" s="276" t="s">
        <v>656</v>
      </c>
      <c r="F61" s="276" t="s">
        <v>660</v>
      </c>
      <c r="G61" s="277" t="s">
        <v>155</v>
      </c>
      <c r="H61" s="313" t="s">
        <v>146</v>
      </c>
    </row>
    <row r="62" spans="1:11" ht="14.4" x14ac:dyDescent="0.3">
      <c r="A62" s="272" t="s">
        <v>757</v>
      </c>
      <c r="B62" s="273" t="s">
        <v>657</v>
      </c>
      <c r="C62" s="274">
        <v>5.81</v>
      </c>
      <c r="D62" s="275">
        <v>3400</v>
      </c>
      <c r="E62" s="276" t="s">
        <v>656</v>
      </c>
      <c r="F62" s="276"/>
      <c r="G62" s="277"/>
      <c r="H62" s="313">
        <v>0</v>
      </c>
    </row>
    <row r="63" spans="1:11" ht="14.4" x14ac:dyDescent="0.3">
      <c r="A63" s="272" t="s">
        <v>758</v>
      </c>
      <c r="B63" s="273" t="s">
        <v>708</v>
      </c>
      <c r="C63" s="274">
        <v>32.229999999999997</v>
      </c>
      <c r="D63" s="275">
        <v>3400</v>
      </c>
      <c r="E63" s="276" t="s">
        <v>676</v>
      </c>
      <c r="F63" s="276"/>
      <c r="G63" s="277"/>
      <c r="H63" s="313" t="s">
        <v>497</v>
      </c>
    </row>
    <row r="64" spans="1:11" ht="14.4" x14ac:dyDescent="0.3">
      <c r="A64" s="272" t="s">
        <v>759</v>
      </c>
      <c r="B64" s="273" t="s">
        <v>663</v>
      </c>
      <c r="C64" s="274">
        <v>32.04</v>
      </c>
      <c r="D64" s="275">
        <v>3390</v>
      </c>
      <c r="E64" s="276" t="s">
        <v>665</v>
      </c>
      <c r="F64" s="276"/>
      <c r="G64" s="277"/>
      <c r="H64" s="313">
        <v>0</v>
      </c>
    </row>
    <row r="65" spans="1:8" ht="14.4" x14ac:dyDescent="0.3">
      <c r="A65" s="272" t="s">
        <v>760</v>
      </c>
      <c r="B65" s="273" t="s">
        <v>678</v>
      </c>
      <c r="C65" s="274">
        <v>48.43</v>
      </c>
      <c r="D65" s="275">
        <v>3150</v>
      </c>
      <c r="E65" s="276" t="s">
        <v>665</v>
      </c>
      <c r="F65" s="276"/>
      <c r="G65" s="277" t="s">
        <v>679</v>
      </c>
      <c r="H65" s="313" t="s">
        <v>146</v>
      </c>
    </row>
    <row r="66" spans="1:8" ht="14.4" x14ac:dyDescent="0.3">
      <c r="A66" s="272" t="s">
        <v>761</v>
      </c>
      <c r="B66" s="273" t="s">
        <v>678</v>
      </c>
      <c r="C66" s="274">
        <v>65.209999999999994</v>
      </c>
      <c r="D66" s="275">
        <v>3150</v>
      </c>
      <c r="E66" s="276" t="s">
        <v>676</v>
      </c>
      <c r="F66" s="276"/>
      <c r="G66" s="277" t="s">
        <v>679</v>
      </c>
      <c r="H66" s="313" t="s">
        <v>146</v>
      </c>
    </row>
    <row r="67" spans="1:8" ht="14.4" x14ac:dyDescent="0.3">
      <c r="A67" s="272" t="s">
        <v>762</v>
      </c>
      <c r="B67" s="273" t="s">
        <v>664</v>
      </c>
      <c r="C67" s="274">
        <v>13.46</v>
      </c>
      <c r="D67" s="275">
        <v>3410</v>
      </c>
      <c r="E67" s="276" t="s">
        <v>665</v>
      </c>
      <c r="F67" s="276"/>
      <c r="G67" s="277"/>
      <c r="H67" s="313" t="s">
        <v>127</v>
      </c>
    </row>
    <row r="68" spans="1:8" ht="14.4" x14ac:dyDescent="0.3">
      <c r="A68" s="272" t="s">
        <v>763</v>
      </c>
      <c r="B68" s="273" t="s">
        <v>708</v>
      </c>
      <c r="C68" s="274">
        <v>32.28</v>
      </c>
      <c r="D68" s="275">
        <v>3410</v>
      </c>
      <c r="E68" s="276" t="s">
        <v>676</v>
      </c>
      <c r="F68" s="276"/>
      <c r="G68" s="277"/>
      <c r="H68" s="313" t="s">
        <v>497</v>
      </c>
    </row>
    <row r="69" spans="1:8" ht="14.4" x14ac:dyDescent="0.3">
      <c r="A69" s="272" t="s">
        <v>764</v>
      </c>
      <c r="B69" s="273" t="s">
        <v>708</v>
      </c>
      <c r="C69" s="274">
        <v>31.8</v>
      </c>
      <c r="D69" s="275">
        <v>3390</v>
      </c>
      <c r="E69" s="276" t="s">
        <v>676</v>
      </c>
      <c r="F69" s="276"/>
      <c r="G69" s="277"/>
      <c r="H69" s="313" t="s">
        <v>497</v>
      </c>
    </row>
    <row r="70" spans="1:8" ht="14.4" x14ac:dyDescent="0.3">
      <c r="A70" s="272" t="s">
        <v>765</v>
      </c>
      <c r="B70" s="273" t="s">
        <v>678</v>
      </c>
      <c r="C70" s="274">
        <v>68.02</v>
      </c>
      <c r="D70" s="275">
        <v>3150</v>
      </c>
      <c r="E70" s="276" t="s">
        <v>665</v>
      </c>
      <c r="F70" s="276"/>
      <c r="G70" s="277" t="s">
        <v>679</v>
      </c>
      <c r="H70" s="313" t="s">
        <v>146</v>
      </c>
    </row>
    <row r="71" spans="1:8" ht="14.4" x14ac:dyDescent="0.3">
      <c r="A71" s="272" t="s">
        <v>766</v>
      </c>
      <c r="B71" s="273" t="s">
        <v>661</v>
      </c>
      <c r="C71" s="274">
        <v>17.59</v>
      </c>
      <c r="D71" s="275">
        <v>3370</v>
      </c>
      <c r="E71" s="276" t="s">
        <v>656</v>
      </c>
      <c r="F71" s="276"/>
      <c r="G71" s="277"/>
      <c r="H71" s="313">
        <v>0</v>
      </c>
    </row>
    <row r="72" spans="1:8" ht="14.4" x14ac:dyDescent="0.3">
      <c r="A72" s="272" t="s">
        <v>767</v>
      </c>
      <c r="B72" s="273" t="s">
        <v>678</v>
      </c>
      <c r="C72" s="274">
        <v>48.42</v>
      </c>
      <c r="D72" s="275">
        <v>3150</v>
      </c>
      <c r="E72" s="276" t="s">
        <v>665</v>
      </c>
      <c r="F72" s="276"/>
      <c r="G72" s="277" t="s">
        <v>679</v>
      </c>
      <c r="H72" s="313" t="s">
        <v>146</v>
      </c>
    </row>
    <row r="73" spans="1:8" ht="14.4" x14ac:dyDescent="0.3">
      <c r="A73" s="272" t="s">
        <v>768</v>
      </c>
      <c r="B73" s="273" t="s">
        <v>732</v>
      </c>
      <c r="C73" s="274">
        <v>48.77</v>
      </c>
      <c r="D73" s="275">
        <v>3150</v>
      </c>
      <c r="E73" s="276" t="s">
        <v>665</v>
      </c>
      <c r="F73" s="276"/>
      <c r="G73" s="277" t="s">
        <v>679</v>
      </c>
      <c r="H73" s="313" t="s">
        <v>146</v>
      </c>
    </row>
    <row r="74" spans="1:8" ht="14.4" x14ac:dyDescent="0.3">
      <c r="A74" s="272" t="s">
        <v>769</v>
      </c>
      <c r="B74" s="273" t="s">
        <v>666</v>
      </c>
      <c r="C74" s="274">
        <v>11.9</v>
      </c>
      <c r="D74" s="275">
        <v>3370</v>
      </c>
      <c r="E74" s="276" t="s">
        <v>665</v>
      </c>
      <c r="F74" s="276"/>
      <c r="G74" s="277"/>
      <c r="H74" s="313">
        <v>0</v>
      </c>
    </row>
    <row r="75" spans="1:8" ht="14.4" x14ac:dyDescent="0.3">
      <c r="A75" s="272" t="s">
        <v>770</v>
      </c>
      <c r="B75" s="273" t="s">
        <v>672</v>
      </c>
      <c r="C75" s="274">
        <v>1.53</v>
      </c>
      <c r="D75" s="275">
        <v>3370</v>
      </c>
      <c r="E75" s="276" t="s">
        <v>656</v>
      </c>
      <c r="F75" s="276" t="s">
        <v>660</v>
      </c>
      <c r="G75" s="277"/>
      <c r="H75" s="313">
        <v>0</v>
      </c>
    </row>
    <row r="76" spans="1:8" ht="14.4" x14ac:dyDescent="0.3">
      <c r="A76" s="272" t="s">
        <v>771</v>
      </c>
      <c r="B76" s="273" t="s">
        <v>734</v>
      </c>
      <c r="C76" s="274">
        <v>9.84</v>
      </c>
      <c r="D76" s="275">
        <v>3000</v>
      </c>
      <c r="E76" s="276" t="s">
        <v>656</v>
      </c>
      <c r="F76" s="276" t="s">
        <v>660</v>
      </c>
      <c r="G76" s="277" t="s">
        <v>155</v>
      </c>
      <c r="H76" s="313" t="s">
        <v>146</v>
      </c>
    </row>
    <row r="77" spans="1:8" ht="14.4" x14ac:dyDescent="0.3">
      <c r="A77" s="272" t="s">
        <v>772</v>
      </c>
      <c r="B77" s="273" t="s">
        <v>737</v>
      </c>
      <c r="C77" s="274">
        <v>5.48</v>
      </c>
      <c r="D77" s="275">
        <v>3000</v>
      </c>
      <c r="E77" s="276" t="s">
        <v>656</v>
      </c>
      <c r="F77" s="276" t="s">
        <v>660</v>
      </c>
      <c r="G77" s="277" t="s">
        <v>155</v>
      </c>
      <c r="H77" s="313" t="s">
        <v>146</v>
      </c>
    </row>
    <row r="78" spans="1:8" ht="14.4" x14ac:dyDescent="0.3">
      <c r="A78" s="272" t="s">
        <v>773</v>
      </c>
      <c r="B78" s="273" t="s">
        <v>708</v>
      </c>
      <c r="C78" s="274">
        <v>15.66</v>
      </c>
      <c r="D78" s="275">
        <v>3360</v>
      </c>
      <c r="E78" s="276" t="s">
        <v>676</v>
      </c>
      <c r="F78" s="276"/>
      <c r="G78" s="277"/>
      <c r="H78" s="313" t="s">
        <v>497</v>
      </c>
    </row>
    <row r="79" spans="1:8" ht="14.4" x14ac:dyDescent="0.3">
      <c r="A79" s="272" t="s">
        <v>774</v>
      </c>
      <c r="B79" s="273" t="s">
        <v>684</v>
      </c>
      <c r="C79" s="274">
        <v>19.39</v>
      </c>
      <c r="D79" s="275">
        <v>3360</v>
      </c>
      <c r="E79" s="276" t="s">
        <v>665</v>
      </c>
      <c r="F79" s="276"/>
      <c r="G79" s="277"/>
      <c r="H79" s="316" t="s">
        <v>127</v>
      </c>
    </row>
    <row r="80" spans="1:8" ht="14.4" x14ac:dyDescent="0.3">
      <c r="A80" s="272" t="s">
        <v>775</v>
      </c>
      <c r="B80" s="273" t="s">
        <v>664</v>
      </c>
      <c r="C80" s="274">
        <v>32.44</v>
      </c>
      <c r="D80" s="275">
        <v>3370</v>
      </c>
      <c r="E80" s="276" t="s">
        <v>665</v>
      </c>
      <c r="F80" s="276"/>
      <c r="G80" s="277"/>
      <c r="H80" s="313" t="s">
        <v>127</v>
      </c>
    </row>
    <row r="81" spans="1:8" ht="14.4" x14ac:dyDescent="0.3">
      <c r="A81" s="272" t="s">
        <v>776</v>
      </c>
      <c r="B81" s="273" t="s">
        <v>664</v>
      </c>
      <c r="C81" s="274">
        <v>16.100000000000001</v>
      </c>
      <c r="D81" s="275">
        <v>3370</v>
      </c>
      <c r="E81" s="276" t="s">
        <v>665</v>
      </c>
      <c r="F81" s="276"/>
      <c r="G81" s="277"/>
      <c r="H81" s="313" t="s">
        <v>127</v>
      </c>
    </row>
    <row r="82" spans="1:8" ht="14.4" x14ac:dyDescent="0.3">
      <c r="A82" s="272" t="s">
        <v>777</v>
      </c>
      <c r="B82" s="273" t="s">
        <v>664</v>
      </c>
      <c r="C82" s="274">
        <v>15.17</v>
      </c>
      <c r="D82" s="275">
        <v>3370</v>
      </c>
      <c r="E82" s="276" t="s">
        <v>665</v>
      </c>
      <c r="F82" s="276"/>
      <c r="G82" s="277"/>
      <c r="H82" s="313" t="s">
        <v>127</v>
      </c>
    </row>
    <row r="83" spans="1:8" ht="14.4" x14ac:dyDescent="0.3">
      <c r="A83" s="272" t="s">
        <v>778</v>
      </c>
      <c r="B83" s="273" t="s">
        <v>684</v>
      </c>
      <c r="C83" s="274">
        <v>34.409999999999997</v>
      </c>
      <c r="D83" s="275">
        <v>3370</v>
      </c>
      <c r="E83" s="276" t="s">
        <v>665</v>
      </c>
      <c r="F83" s="276"/>
      <c r="G83" s="277"/>
      <c r="H83" s="316" t="s">
        <v>331</v>
      </c>
    </row>
    <row r="84" spans="1:8" ht="14.4" x14ac:dyDescent="0.3">
      <c r="A84" s="272" t="s">
        <v>779</v>
      </c>
      <c r="B84" s="273" t="s">
        <v>664</v>
      </c>
      <c r="C84" s="274">
        <v>16.309999999999999</v>
      </c>
      <c r="D84" s="275">
        <v>3370</v>
      </c>
      <c r="E84" s="276" t="s">
        <v>665</v>
      </c>
      <c r="F84" s="276"/>
      <c r="G84" s="277"/>
      <c r="H84" s="313" t="s">
        <v>127</v>
      </c>
    </row>
    <row r="85" spans="1:8" ht="14.4" x14ac:dyDescent="0.3">
      <c r="A85" s="272" t="s">
        <v>780</v>
      </c>
      <c r="B85" s="273" t="s">
        <v>714</v>
      </c>
      <c r="C85" s="274">
        <v>14.8</v>
      </c>
      <c r="D85" s="275">
        <v>3320</v>
      </c>
      <c r="E85" s="276" t="s">
        <v>676</v>
      </c>
      <c r="F85" s="276"/>
      <c r="G85" s="277"/>
      <c r="H85" s="313" t="s">
        <v>127</v>
      </c>
    </row>
    <row r="86" spans="1:8" ht="14.4" x14ac:dyDescent="0.3">
      <c r="A86" s="272" t="s">
        <v>781</v>
      </c>
      <c r="B86" s="273" t="s">
        <v>684</v>
      </c>
      <c r="C86" s="274">
        <v>34.67</v>
      </c>
      <c r="D86" s="275">
        <v>3320</v>
      </c>
      <c r="E86" s="276" t="s">
        <v>676</v>
      </c>
      <c r="F86" s="276"/>
      <c r="G86" s="277"/>
      <c r="H86" s="313" t="s">
        <v>331</v>
      </c>
    </row>
    <row r="87" spans="1:8" ht="14.4" x14ac:dyDescent="0.3">
      <c r="A87" s="272" t="s">
        <v>782</v>
      </c>
      <c r="B87" s="273" t="s">
        <v>674</v>
      </c>
      <c r="C87" s="274">
        <v>31.2</v>
      </c>
      <c r="D87" s="275">
        <v>3320</v>
      </c>
      <c r="E87" s="276" t="s">
        <v>665</v>
      </c>
      <c r="F87" s="276"/>
      <c r="G87" s="277"/>
      <c r="H87" s="313" t="s">
        <v>497</v>
      </c>
    </row>
    <row r="88" spans="1:8" ht="14.4" x14ac:dyDescent="0.3">
      <c r="A88" s="272" t="s">
        <v>783</v>
      </c>
      <c r="B88" s="273" t="s">
        <v>692</v>
      </c>
      <c r="C88" s="274">
        <v>31.8</v>
      </c>
      <c r="D88" s="275">
        <v>3320</v>
      </c>
      <c r="E88" s="276" t="s">
        <v>676</v>
      </c>
      <c r="F88" s="276"/>
      <c r="G88" s="277"/>
      <c r="H88" s="313" t="s">
        <v>331</v>
      </c>
    </row>
    <row r="89" spans="1:8" ht="14.4" x14ac:dyDescent="0.3">
      <c r="A89" s="272" t="s">
        <v>784</v>
      </c>
      <c r="B89" s="273" t="s">
        <v>674</v>
      </c>
      <c r="C89" s="274">
        <v>14.73</v>
      </c>
      <c r="D89" s="275">
        <v>3300</v>
      </c>
      <c r="E89" s="276" t="s">
        <v>665</v>
      </c>
      <c r="F89" s="276"/>
      <c r="G89" s="277"/>
      <c r="H89" s="313" t="s">
        <v>497</v>
      </c>
    </row>
    <row r="90" spans="1:8" ht="14.4" x14ac:dyDescent="0.3">
      <c r="A90" s="272" t="s">
        <v>785</v>
      </c>
      <c r="B90" s="273" t="s">
        <v>692</v>
      </c>
      <c r="C90" s="274">
        <v>18.29</v>
      </c>
      <c r="D90" s="275">
        <v>3230</v>
      </c>
      <c r="E90" s="276" t="s">
        <v>676</v>
      </c>
      <c r="F90" s="276"/>
      <c r="G90" s="277"/>
      <c r="H90" s="313" t="s">
        <v>127</v>
      </c>
    </row>
    <row r="91" spans="1:8" ht="13.2" x14ac:dyDescent="0.25">
      <c r="A91" s="272" t="s">
        <v>786</v>
      </c>
      <c r="B91" s="273" t="s">
        <v>710</v>
      </c>
      <c r="C91" s="274">
        <v>17.02</v>
      </c>
      <c r="D91" s="275">
        <v>3360</v>
      </c>
      <c r="E91" s="276" t="s">
        <v>334</v>
      </c>
      <c r="F91" s="276"/>
      <c r="G91" s="277"/>
      <c r="H91" s="314" t="s">
        <v>152</v>
      </c>
    </row>
    <row r="92" spans="1:8" ht="14.4" x14ac:dyDescent="0.3">
      <c r="A92" s="272" t="s">
        <v>787</v>
      </c>
      <c r="B92" s="273" t="s">
        <v>678</v>
      </c>
      <c r="C92" s="274">
        <v>48.76</v>
      </c>
      <c r="D92" s="275">
        <v>3150</v>
      </c>
      <c r="E92" s="276" t="s">
        <v>665</v>
      </c>
      <c r="F92" s="276"/>
      <c r="G92" s="277" t="s">
        <v>679</v>
      </c>
      <c r="H92" s="313" t="s">
        <v>146</v>
      </c>
    </row>
    <row r="93" spans="1:8" ht="14.4" x14ac:dyDescent="0.3">
      <c r="A93" s="272" t="s">
        <v>788</v>
      </c>
      <c r="B93" s="273" t="s">
        <v>664</v>
      </c>
      <c r="C93" s="274">
        <v>32.5</v>
      </c>
      <c r="D93" s="275">
        <v>3370</v>
      </c>
      <c r="E93" s="276" t="s">
        <v>665</v>
      </c>
      <c r="F93" s="276"/>
      <c r="G93" s="277"/>
      <c r="H93" s="313" t="s">
        <v>127</v>
      </c>
    </row>
    <row r="94" spans="1:8" ht="14.4" x14ac:dyDescent="0.3">
      <c r="A94" s="272" t="s">
        <v>789</v>
      </c>
      <c r="B94" s="273" t="s">
        <v>684</v>
      </c>
      <c r="C94" s="274">
        <v>32.11</v>
      </c>
      <c r="D94" s="275">
        <v>3410</v>
      </c>
      <c r="E94" s="276" t="s">
        <v>676</v>
      </c>
      <c r="F94" s="276"/>
      <c r="G94" s="277"/>
      <c r="H94" s="313" t="s">
        <v>127</v>
      </c>
    </row>
    <row r="95" spans="1:8" ht="14.4" x14ac:dyDescent="0.3">
      <c r="A95" s="272" t="s">
        <v>790</v>
      </c>
      <c r="B95" s="273" t="s">
        <v>664</v>
      </c>
      <c r="C95" s="274">
        <v>35.67</v>
      </c>
      <c r="D95" s="275">
        <v>3400</v>
      </c>
      <c r="E95" s="276" t="s">
        <v>665</v>
      </c>
      <c r="F95" s="276"/>
      <c r="G95" s="277"/>
      <c r="H95" s="313" t="s">
        <v>127</v>
      </c>
    </row>
    <row r="96" spans="1:8" ht="14.4" x14ac:dyDescent="0.3">
      <c r="A96" s="272" t="s">
        <v>791</v>
      </c>
      <c r="B96" s="273" t="s">
        <v>664</v>
      </c>
      <c r="C96" s="274">
        <v>15.52</v>
      </c>
      <c r="D96" s="275">
        <v>3400</v>
      </c>
      <c r="E96" s="276" t="s">
        <v>665</v>
      </c>
      <c r="F96" s="276"/>
      <c r="G96" s="277"/>
      <c r="H96" s="313" t="s">
        <v>127</v>
      </c>
    </row>
    <row r="97" spans="1:8" ht="14.4" x14ac:dyDescent="0.3">
      <c r="A97" s="272" t="s">
        <v>792</v>
      </c>
      <c r="B97" s="273" t="s">
        <v>664</v>
      </c>
      <c r="C97" s="274">
        <v>15.15</v>
      </c>
      <c r="D97" s="275">
        <v>3400</v>
      </c>
      <c r="E97" s="276" t="s">
        <v>665</v>
      </c>
      <c r="F97" s="276"/>
      <c r="G97" s="277"/>
      <c r="H97" s="313" t="s">
        <v>127</v>
      </c>
    </row>
    <row r="98" spans="1:8" ht="14.4" x14ac:dyDescent="0.3">
      <c r="A98" s="272" t="s">
        <v>793</v>
      </c>
      <c r="B98" s="273" t="s">
        <v>684</v>
      </c>
      <c r="C98" s="274">
        <v>31.87</v>
      </c>
      <c r="D98" s="275">
        <v>3400</v>
      </c>
      <c r="E98" s="276" t="s">
        <v>665</v>
      </c>
      <c r="F98" s="276"/>
      <c r="G98" s="277"/>
      <c r="H98" s="313" t="s">
        <v>127</v>
      </c>
    </row>
    <row r="99" spans="1:8" ht="14.4" x14ac:dyDescent="0.3">
      <c r="A99" s="272" t="s">
        <v>794</v>
      </c>
      <c r="B99" s="273" t="s">
        <v>664</v>
      </c>
      <c r="C99" s="274">
        <v>15.48</v>
      </c>
      <c r="D99" s="275">
        <v>3400</v>
      </c>
      <c r="E99" s="276" t="s">
        <v>665</v>
      </c>
      <c r="F99" s="276"/>
      <c r="G99" s="277"/>
      <c r="H99" s="313" t="s">
        <v>127</v>
      </c>
    </row>
    <row r="100" spans="1:8" ht="14.4" x14ac:dyDescent="0.3">
      <c r="A100" s="272" t="s">
        <v>795</v>
      </c>
      <c r="B100" s="273" t="s">
        <v>664</v>
      </c>
      <c r="C100" s="274">
        <v>15.52</v>
      </c>
      <c r="D100" s="275">
        <v>3400</v>
      </c>
      <c r="E100" s="276" t="s">
        <v>665</v>
      </c>
      <c r="F100" s="276"/>
      <c r="G100" s="277"/>
      <c r="H100" s="313" t="s">
        <v>127</v>
      </c>
    </row>
    <row r="101" spans="1:8" ht="14.4" x14ac:dyDescent="0.3">
      <c r="A101" s="272" t="s">
        <v>796</v>
      </c>
      <c r="B101" s="273" t="s">
        <v>664</v>
      </c>
      <c r="C101" s="274">
        <v>18.53</v>
      </c>
      <c r="D101" s="275">
        <v>3390</v>
      </c>
      <c r="E101" s="276" t="s">
        <v>665</v>
      </c>
      <c r="F101" s="276"/>
      <c r="G101" s="277"/>
      <c r="H101" s="313" t="s">
        <v>127</v>
      </c>
    </row>
    <row r="102" spans="1:8" ht="13.2" x14ac:dyDescent="0.25">
      <c r="A102" s="272" t="s">
        <v>797</v>
      </c>
      <c r="B102" s="273" t="s">
        <v>710</v>
      </c>
      <c r="C102" s="274">
        <v>18.72</v>
      </c>
      <c r="D102" s="275">
        <v>3360</v>
      </c>
      <c r="E102" s="276" t="s">
        <v>676</v>
      </c>
      <c r="F102" s="276"/>
      <c r="G102" s="277"/>
      <c r="H102" s="314" t="s">
        <v>152</v>
      </c>
    </row>
    <row r="103" spans="1:8" ht="14.4" x14ac:dyDescent="0.3">
      <c r="A103" s="272" t="s">
        <v>798</v>
      </c>
      <c r="B103" s="273" t="s">
        <v>708</v>
      </c>
      <c r="C103" s="274">
        <v>32.07</v>
      </c>
      <c r="D103" s="275">
        <v>3360</v>
      </c>
      <c r="E103" s="276" t="s">
        <v>676</v>
      </c>
      <c r="F103" s="276"/>
      <c r="G103" s="277"/>
      <c r="H103" s="313" t="s">
        <v>497</v>
      </c>
    </row>
    <row r="104" spans="1:8" ht="14.4" x14ac:dyDescent="0.3">
      <c r="A104" s="272" t="s">
        <v>799</v>
      </c>
      <c r="B104" s="273" t="s">
        <v>664</v>
      </c>
      <c r="C104" s="274">
        <v>15.31</v>
      </c>
      <c r="D104" s="275">
        <v>3360</v>
      </c>
      <c r="E104" s="276" t="s">
        <v>665</v>
      </c>
      <c r="F104" s="276"/>
      <c r="G104" s="277"/>
      <c r="H104" s="313" t="s">
        <v>127</v>
      </c>
    </row>
    <row r="105" spans="1:8" ht="14.4" x14ac:dyDescent="0.3">
      <c r="A105" s="272" t="s">
        <v>800</v>
      </c>
      <c r="B105" s="273" t="s">
        <v>708</v>
      </c>
      <c r="C105" s="274">
        <v>31.69</v>
      </c>
      <c r="D105" s="275">
        <v>3380</v>
      </c>
      <c r="E105" s="276" t="s">
        <v>665</v>
      </c>
      <c r="F105" s="276"/>
      <c r="G105" s="277"/>
      <c r="H105" s="313" t="s">
        <v>497</v>
      </c>
    </row>
    <row r="106" spans="1:8" ht="14.4" x14ac:dyDescent="0.3">
      <c r="A106" s="272" t="s">
        <v>801</v>
      </c>
      <c r="B106" s="273" t="s">
        <v>664</v>
      </c>
      <c r="C106" s="274">
        <v>15.63</v>
      </c>
      <c r="D106" s="275">
        <v>3380</v>
      </c>
      <c r="E106" s="276" t="s">
        <v>665</v>
      </c>
      <c r="F106" s="276"/>
      <c r="G106" s="277"/>
      <c r="H106" s="313" t="s">
        <v>127</v>
      </c>
    </row>
    <row r="107" spans="1:8" ht="14.4" x14ac:dyDescent="0.3">
      <c r="A107" s="272" t="s">
        <v>802</v>
      </c>
      <c r="B107" s="273" t="s">
        <v>684</v>
      </c>
      <c r="C107" s="274">
        <v>35.67</v>
      </c>
      <c r="D107" s="275">
        <v>3380</v>
      </c>
      <c r="E107" s="276" t="s">
        <v>676</v>
      </c>
      <c r="F107" s="276"/>
      <c r="G107" s="277"/>
      <c r="H107" s="313" t="s">
        <v>127</v>
      </c>
    </row>
    <row r="108" spans="1:8" ht="14.4" x14ac:dyDescent="0.3">
      <c r="A108" s="272" t="s">
        <v>803</v>
      </c>
      <c r="B108" s="273" t="s">
        <v>734</v>
      </c>
      <c r="C108" s="274">
        <v>7.59</v>
      </c>
      <c r="D108" s="275">
        <v>3000</v>
      </c>
      <c r="E108" s="276" t="s">
        <v>656</v>
      </c>
      <c r="F108" s="276" t="s">
        <v>660</v>
      </c>
      <c r="G108" s="277" t="s">
        <v>155</v>
      </c>
      <c r="H108" s="313" t="s">
        <v>146</v>
      </c>
    </row>
    <row r="109" spans="1:8" ht="14.4" x14ac:dyDescent="0.3">
      <c r="A109" s="272" t="s">
        <v>804</v>
      </c>
      <c r="B109" s="273" t="s">
        <v>672</v>
      </c>
      <c r="C109" s="274">
        <v>2.13</v>
      </c>
      <c r="D109" s="275"/>
      <c r="E109" s="276" t="s">
        <v>656</v>
      </c>
      <c r="F109" s="276" t="s">
        <v>660</v>
      </c>
      <c r="G109" s="277"/>
      <c r="H109" s="313">
        <v>0</v>
      </c>
    </row>
    <row r="110" spans="1:8" ht="14.4" x14ac:dyDescent="0.3">
      <c r="A110" s="272" t="s">
        <v>805</v>
      </c>
      <c r="B110" s="273" t="s">
        <v>737</v>
      </c>
      <c r="C110" s="274">
        <v>5.55</v>
      </c>
      <c r="D110" s="275">
        <v>3000</v>
      </c>
      <c r="E110" s="276" t="s">
        <v>656</v>
      </c>
      <c r="F110" s="276" t="s">
        <v>660</v>
      </c>
      <c r="G110" s="277" t="s">
        <v>155</v>
      </c>
      <c r="H110" s="313" t="s">
        <v>146</v>
      </c>
    </row>
    <row r="111" spans="1:8" ht="13.2" x14ac:dyDescent="0.25">
      <c r="A111" s="272" t="s">
        <v>806</v>
      </c>
      <c r="B111" s="273" t="s">
        <v>748</v>
      </c>
      <c r="C111" s="274">
        <v>12.39</v>
      </c>
      <c r="D111" s="275">
        <v>3390</v>
      </c>
      <c r="E111" s="276" t="s">
        <v>676</v>
      </c>
      <c r="F111" s="276"/>
      <c r="G111" s="277"/>
      <c r="H111" s="314" t="s">
        <v>152</v>
      </c>
    </row>
    <row r="112" spans="1:8" ht="14.4" x14ac:dyDescent="0.3">
      <c r="A112" s="272" t="s">
        <v>807</v>
      </c>
      <c r="B112" s="273" t="s">
        <v>720</v>
      </c>
      <c r="C112" s="274">
        <v>17.28</v>
      </c>
      <c r="D112" s="275">
        <v>3390</v>
      </c>
      <c r="E112" s="276" t="s">
        <v>808</v>
      </c>
      <c r="F112" s="276"/>
      <c r="G112" s="277"/>
      <c r="H112" s="313" t="s">
        <v>127</v>
      </c>
    </row>
    <row r="113" spans="1:10" ht="14.4" x14ac:dyDescent="0.3">
      <c r="A113" s="272" t="s">
        <v>809</v>
      </c>
      <c r="B113" s="273" t="s">
        <v>684</v>
      </c>
      <c r="C113" s="274">
        <v>49.13</v>
      </c>
      <c r="D113" s="275">
        <v>3390</v>
      </c>
      <c r="E113" s="276" t="s">
        <v>656</v>
      </c>
      <c r="F113" s="276"/>
      <c r="G113" s="277"/>
      <c r="H113" s="313" t="s">
        <v>127</v>
      </c>
    </row>
    <row r="114" spans="1:10" ht="14.4" x14ac:dyDescent="0.3">
      <c r="A114" s="272" t="s">
        <v>810</v>
      </c>
      <c r="B114" s="273" t="s">
        <v>705</v>
      </c>
      <c r="C114" s="274">
        <v>31.97</v>
      </c>
      <c r="D114" s="275">
        <v>3390</v>
      </c>
      <c r="E114" s="276" t="s">
        <v>811</v>
      </c>
      <c r="F114" s="276"/>
      <c r="G114" s="277"/>
      <c r="H114" s="313" t="s">
        <v>331</v>
      </c>
    </row>
    <row r="115" spans="1:10" ht="14.4" x14ac:dyDescent="0.3">
      <c r="A115" s="272" t="s">
        <v>812</v>
      </c>
      <c r="B115" s="273" t="s">
        <v>684</v>
      </c>
      <c r="C115" s="274">
        <v>35.67</v>
      </c>
      <c r="D115" s="275">
        <v>3390</v>
      </c>
      <c r="E115" s="276" t="s">
        <v>665</v>
      </c>
      <c r="F115" s="276"/>
      <c r="G115" s="277"/>
      <c r="H115" s="313" t="s">
        <v>127</v>
      </c>
    </row>
    <row r="116" spans="1:10" ht="14.4" x14ac:dyDescent="0.3">
      <c r="A116" s="272" t="s">
        <v>813</v>
      </c>
      <c r="B116" s="273" t="s">
        <v>708</v>
      </c>
      <c r="C116" s="274">
        <v>48.08</v>
      </c>
      <c r="D116" s="275">
        <v>3390</v>
      </c>
      <c r="E116" s="276" t="s">
        <v>676</v>
      </c>
      <c r="F116" s="276"/>
      <c r="G116" s="277"/>
      <c r="H116" s="313" t="s">
        <v>497</v>
      </c>
    </row>
    <row r="117" spans="1:10" ht="14.4" x14ac:dyDescent="0.3">
      <c r="A117" s="272" t="s">
        <v>814</v>
      </c>
      <c r="B117" s="273" t="s">
        <v>678</v>
      </c>
      <c r="C117" s="274">
        <v>31.52</v>
      </c>
      <c r="D117" s="275">
        <v>3390</v>
      </c>
      <c r="E117" s="276" t="s">
        <v>676</v>
      </c>
      <c r="F117" s="276"/>
      <c r="G117" s="278"/>
      <c r="H117" s="313" t="s">
        <v>146</v>
      </c>
    </row>
    <row r="118" spans="1:10" ht="14.4" x14ac:dyDescent="0.3">
      <c r="A118" s="272" t="s">
        <v>815</v>
      </c>
      <c r="B118" s="273" t="s">
        <v>684</v>
      </c>
      <c r="C118" s="274">
        <v>34.25</v>
      </c>
      <c r="D118" s="275">
        <v>3390</v>
      </c>
      <c r="E118" s="276" t="s">
        <v>676</v>
      </c>
      <c r="F118" s="276"/>
      <c r="G118" s="277"/>
      <c r="H118" s="313" t="s">
        <v>127</v>
      </c>
    </row>
    <row r="119" spans="1:10" ht="14.4" x14ac:dyDescent="0.3">
      <c r="A119" s="272" t="s">
        <v>816</v>
      </c>
      <c r="B119" s="273" t="s">
        <v>727</v>
      </c>
      <c r="C119" s="274">
        <v>259.05</v>
      </c>
      <c r="D119" s="275">
        <v>3095</v>
      </c>
      <c r="E119" s="276" t="s">
        <v>656</v>
      </c>
      <c r="F119" s="276"/>
      <c r="G119" s="277" t="s">
        <v>679</v>
      </c>
      <c r="H119" s="313" t="s">
        <v>146</v>
      </c>
      <c r="J119" s="279"/>
    </row>
    <row r="120" spans="1:10" ht="14.4" x14ac:dyDescent="0.3">
      <c r="A120" s="272" t="s">
        <v>817</v>
      </c>
      <c r="B120" s="273" t="s">
        <v>657</v>
      </c>
      <c r="C120" s="274">
        <v>1.46</v>
      </c>
      <c r="D120" s="275">
        <v>3050</v>
      </c>
      <c r="E120" s="276" t="s">
        <v>656</v>
      </c>
      <c r="F120" s="276"/>
      <c r="G120" s="277"/>
      <c r="H120" s="313">
        <v>0</v>
      </c>
      <c r="J120" s="279"/>
    </row>
    <row r="121" spans="1:10" ht="14.4" x14ac:dyDescent="0.3">
      <c r="A121" s="272" t="s">
        <v>818</v>
      </c>
      <c r="B121" s="273" t="s">
        <v>657</v>
      </c>
      <c r="C121" s="274">
        <v>1.46</v>
      </c>
      <c r="D121" s="275">
        <v>3050</v>
      </c>
      <c r="E121" s="276" t="s">
        <v>656</v>
      </c>
      <c r="F121" s="276"/>
      <c r="G121" s="277"/>
      <c r="H121" s="313">
        <v>0</v>
      </c>
      <c r="J121" s="279"/>
    </row>
    <row r="122" spans="1:10" ht="14.4" x14ac:dyDescent="0.3">
      <c r="A122" s="272" t="s">
        <v>819</v>
      </c>
      <c r="B122" s="273" t="s">
        <v>657</v>
      </c>
      <c r="C122" s="274">
        <v>1.46</v>
      </c>
      <c r="D122" s="275">
        <v>3050</v>
      </c>
      <c r="E122" s="276" t="s">
        <v>656</v>
      </c>
      <c r="F122" s="276"/>
      <c r="G122" s="277"/>
      <c r="H122" s="313">
        <v>0</v>
      </c>
    </row>
    <row r="123" spans="1:10" ht="14.4" x14ac:dyDescent="0.3">
      <c r="A123" s="272" t="s">
        <v>820</v>
      </c>
      <c r="B123" s="273" t="s">
        <v>727</v>
      </c>
      <c r="C123" s="274">
        <v>83.97</v>
      </c>
      <c r="D123" s="275">
        <v>2950</v>
      </c>
      <c r="E123" s="276" t="s">
        <v>656</v>
      </c>
      <c r="F123" s="276"/>
      <c r="G123" s="277" t="s">
        <v>679</v>
      </c>
      <c r="H123" s="313" t="s">
        <v>146</v>
      </c>
      <c r="J123" s="280"/>
    </row>
    <row r="124" spans="1:10" ht="14.4" x14ac:dyDescent="0.3">
      <c r="A124" s="272" t="s">
        <v>821</v>
      </c>
      <c r="B124" s="273" t="s">
        <v>727</v>
      </c>
      <c r="C124" s="274">
        <v>87.78</v>
      </c>
      <c r="D124" s="275">
        <v>2950</v>
      </c>
      <c r="E124" s="276" t="s">
        <v>656</v>
      </c>
      <c r="F124" s="276"/>
      <c r="G124" s="277" t="s">
        <v>679</v>
      </c>
      <c r="H124" s="313" t="s">
        <v>146</v>
      </c>
    </row>
    <row r="125" spans="1:10" ht="14.4" x14ac:dyDescent="0.3">
      <c r="A125" s="272" t="s">
        <v>822</v>
      </c>
      <c r="B125" s="273" t="s">
        <v>727</v>
      </c>
      <c r="C125" s="274">
        <v>94.78</v>
      </c>
      <c r="D125" s="275">
        <v>2950</v>
      </c>
      <c r="E125" s="276" t="s">
        <v>656</v>
      </c>
      <c r="F125" s="276"/>
      <c r="G125" s="277" t="s">
        <v>679</v>
      </c>
      <c r="H125" s="313" t="s">
        <v>146</v>
      </c>
      <c r="J125" s="279"/>
    </row>
    <row r="126" spans="1:10" ht="14.4" x14ac:dyDescent="0.3">
      <c r="A126" s="272" t="s">
        <v>823</v>
      </c>
      <c r="B126" s="273" t="s">
        <v>727</v>
      </c>
      <c r="C126" s="274">
        <v>83.57</v>
      </c>
      <c r="D126" s="275">
        <v>2935</v>
      </c>
      <c r="E126" s="276" t="s">
        <v>656</v>
      </c>
      <c r="F126" s="276"/>
      <c r="G126" s="277" t="s">
        <v>679</v>
      </c>
      <c r="H126" s="313" t="s">
        <v>146</v>
      </c>
    </row>
    <row r="127" spans="1:10" ht="14.4" x14ac:dyDescent="0.3">
      <c r="A127" s="272" t="s">
        <v>824</v>
      </c>
      <c r="B127" s="273" t="s">
        <v>727</v>
      </c>
      <c r="C127" s="274">
        <v>233</v>
      </c>
      <c r="D127" s="275">
        <v>2937</v>
      </c>
      <c r="E127" s="276" t="s">
        <v>656</v>
      </c>
      <c r="F127" s="276"/>
      <c r="G127" s="277" t="s">
        <v>679</v>
      </c>
      <c r="H127" s="313" t="s">
        <v>146</v>
      </c>
      <c r="I127" s="281"/>
      <c r="J127" s="280"/>
    </row>
    <row r="128" spans="1:10" ht="14.4" x14ac:dyDescent="0.3">
      <c r="A128" s="272" t="s">
        <v>825</v>
      </c>
      <c r="B128" s="273" t="s">
        <v>668</v>
      </c>
      <c r="C128" s="274">
        <v>4.43</v>
      </c>
      <c r="D128" s="275">
        <v>3410</v>
      </c>
      <c r="E128" s="276" t="s">
        <v>656</v>
      </c>
      <c r="F128" s="276"/>
      <c r="G128" s="277"/>
      <c r="H128" s="313">
        <v>0</v>
      </c>
    </row>
    <row r="129" spans="1:8" ht="15" thickBot="1" x14ac:dyDescent="0.35">
      <c r="A129" s="282" t="s">
        <v>826</v>
      </c>
      <c r="B129" s="283" t="s">
        <v>666</v>
      </c>
      <c r="C129" s="284">
        <v>15.37</v>
      </c>
      <c r="D129" s="285">
        <v>3390</v>
      </c>
      <c r="E129" s="286" t="s">
        <v>665</v>
      </c>
      <c r="F129" s="286"/>
      <c r="G129" s="287"/>
      <c r="H129" s="317">
        <v>0</v>
      </c>
    </row>
    <row r="130" spans="1:8" ht="13.5" customHeight="1" thickBot="1" x14ac:dyDescent="0.35">
      <c r="A130" s="347" t="s">
        <v>827</v>
      </c>
      <c r="B130" s="348"/>
      <c r="C130" s="288">
        <f>SUM(C3:C12)+SUM(C21:C129)</f>
        <v>4723.8800000000019</v>
      </c>
      <c r="D130" s="349"/>
      <c r="E130" s="350"/>
      <c r="F130" s="350"/>
      <c r="G130" s="351"/>
      <c r="H130" s="289"/>
    </row>
    <row r="131" spans="1:8" x14ac:dyDescent="0.2">
      <c r="G131" s="258"/>
      <c r="H131" s="259"/>
    </row>
    <row r="132" spans="1:8" x14ac:dyDescent="0.2">
      <c r="G132" s="258"/>
      <c r="H132" s="259"/>
    </row>
    <row r="133" spans="1:8" x14ac:dyDescent="0.2">
      <c r="G133" s="258"/>
      <c r="H133" s="259"/>
    </row>
    <row r="134" spans="1:8" x14ac:dyDescent="0.2">
      <c r="G134" s="258"/>
      <c r="H134" s="259"/>
    </row>
    <row r="135" spans="1:8" x14ac:dyDescent="0.2">
      <c r="G135" s="258"/>
      <c r="H135" s="259"/>
    </row>
    <row r="136" spans="1:8" x14ac:dyDescent="0.2">
      <c r="G136" s="258"/>
      <c r="H136" s="259"/>
    </row>
  </sheetData>
  <mergeCells count="4">
    <mergeCell ref="A1:G1"/>
    <mergeCell ref="I13:I19"/>
    <mergeCell ref="A130:B130"/>
    <mergeCell ref="D130:G13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1"/>
  <sheetViews>
    <sheetView workbookViewId="0">
      <selection activeCell="J36" sqref="J36"/>
    </sheetView>
  </sheetViews>
  <sheetFormatPr defaultColWidth="9.21875" defaultRowHeight="12.6" x14ac:dyDescent="0.2"/>
  <cols>
    <col min="1" max="1" width="9.21875" style="258"/>
    <col min="2" max="2" width="36.77734375" style="258" customWidth="1"/>
    <col min="3" max="3" width="11.44140625" style="279" bestFit="1" customWidth="1"/>
    <col min="4" max="4" width="18.77734375" style="258" customWidth="1"/>
    <col min="5" max="7" width="20.77734375" style="259" customWidth="1"/>
    <col min="8" max="8" width="20.5546875" style="258" customWidth="1"/>
    <col min="9" max="9" width="9.21875" style="258"/>
    <col min="10" max="10" width="30.21875" style="259" bestFit="1" customWidth="1"/>
    <col min="11" max="11" width="20.77734375" style="258" bestFit="1" customWidth="1"/>
    <col min="12" max="16384" width="9.21875" style="258"/>
  </cols>
  <sheetData>
    <row r="1" spans="1:12" ht="16.8" thickBot="1" x14ac:dyDescent="0.35">
      <c r="A1" s="342" t="s">
        <v>828</v>
      </c>
      <c r="B1" s="343"/>
      <c r="C1" s="343"/>
      <c r="D1" s="343"/>
      <c r="E1" s="343"/>
      <c r="F1" s="343"/>
      <c r="G1" s="344"/>
      <c r="H1" s="321"/>
      <c r="J1" s="89" t="s">
        <v>68</v>
      </c>
      <c r="K1" t="s">
        <v>647</v>
      </c>
      <c r="L1"/>
    </row>
    <row r="2" spans="1:12" ht="29.4" thickBot="1" x14ac:dyDescent="0.35">
      <c r="A2" s="260" t="s">
        <v>648</v>
      </c>
      <c r="B2" s="261" t="s">
        <v>649</v>
      </c>
      <c r="C2" s="262" t="s">
        <v>650</v>
      </c>
      <c r="D2" s="262" t="s">
        <v>651</v>
      </c>
      <c r="E2" s="263" t="s">
        <v>652</v>
      </c>
      <c r="F2" s="264" t="s">
        <v>653</v>
      </c>
      <c r="G2" s="263" t="s">
        <v>654</v>
      </c>
      <c r="H2" s="243" t="s">
        <v>125</v>
      </c>
      <c r="J2" s="90">
        <v>0</v>
      </c>
      <c r="K2">
        <v>16.899999999999999</v>
      </c>
      <c r="L2"/>
    </row>
    <row r="3" spans="1:12" ht="14.4" x14ac:dyDescent="0.3">
      <c r="A3" s="292" t="s">
        <v>829</v>
      </c>
      <c r="B3" s="293" t="s">
        <v>830</v>
      </c>
      <c r="C3" s="294">
        <v>57.41</v>
      </c>
      <c r="D3" s="295">
        <v>3200</v>
      </c>
      <c r="E3" s="295" t="s">
        <v>665</v>
      </c>
      <c r="F3" s="295"/>
      <c r="G3" s="296"/>
      <c r="H3" s="224" t="s">
        <v>497</v>
      </c>
      <c r="J3" s="99" t="s">
        <v>831</v>
      </c>
      <c r="K3">
        <v>3.18</v>
      </c>
      <c r="L3"/>
    </row>
    <row r="4" spans="1:12" ht="14.4" x14ac:dyDescent="0.3">
      <c r="A4" s="272" t="s">
        <v>832</v>
      </c>
      <c r="B4" s="273" t="s">
        <v>831</v>
      </c>
      <c r="C4" s="274">
        <v>3.18</v>
      </c>
      <c r="D4" s="276">
        <v>2200</v>
      </c>
      <c r="E4" s="276" t="s">
        <v>656</v>
      </c>
      <c r="F4" s="276"/>
      <c r="G4" s="277"/>
      <c r="H4" s="313">
        <v>0</v>
      </c>
      <c r="J4" s="99" t="s">
        <v>701</v>
      </c>
      <c r="K4">
        <v>13.719999999999999</v>
      </c>
      <c r="L4"/>
    </row>
    <row r="5" spans="1:12" ht="14.4" x14ac:dyDescent="0.3">
      <c r="A5" s="272" t="s">
        <v>833</v>
      </c>
      <c r="B5" s="273" t="s">
        <v>834</v>
      </c>
      <c r="C5" s="274">
        <v>64.58</v>
      </c>
      <c r="D5" s="276"/>
      <c r="E5" s="276" t="s">
        <v>707</v>
      </c>
      <c r="F5" s="276" t="s">
        <v>676</v>
      </c>
      <c r="G5" s="277" t="s">
        <v>155</v>
      </c>
      <c r="H5" s="313" t="s">
        <v>152</v>
      </c>
      <c r="J5" s="90">
        <v>1</v>
      </c>
      <c r="K5">
        <v>95.169999999999987</v>
      </c>
      <c r="L5"/>
    </row>
    <row r="6" spans="1:12" ht="14.4" x14ac:dyDescent="0.3">
      <c r="A6" s="272" t="s">
        <v>835</v>
      </c>
      <c r="B6" s="273" t="s">
        <v>699</v>
      </c>
      <c r="C6" s="274">
        <v>6.4</v>
      </c>
      <c r="D6" s="276">
        <v>3150</v>
      </c>
      <c r="E6" s="276" t="s">
        <v>656</v>
      </c>
      <c r="F6" s="276" t="s">
        <v>836</v>
      </c>
      <c r="G6" s="277" t="s">
        <v>155</v>
      </c>
      <c r="H6" s="313" t="s">
        <v>152</v>
      </c>
      <c r="J6" s="99" t="s">
        <v>727</v>
      </c>
      <c r="K6">
        <v>24.14</v>
      </c>
      <c r="L6"/>
    </row>
    <row r="7" spans="1:12" ht="14.4" x14ac:dyDescent="0.3">
      <c r="A7" s="272" t="s">
        <v>837</v>
      </c>
      <c r="B7" s="273" t="s">
        <v>678</v>
      </c>
      <c r="C7" s="274">
        <v>60.75</v>
      </c>
      <c r="D7" s="276">
        <v>2610</v>
      </c>
      <c r="E7" s="276" t="s">
        <v>665</v>
      </c>
      <c r="F7" s="276"/>
      <c r="G7" s="277" t="s">
        <v>679</v>
      </c>
      <c r="H7" s="313" t="s">
        <v>146</v>
      </c>
      <c r="J7" s="99" t="s">
        <v>720</v>
      </c>
      <c r="K7">
        <v>39.340000000000003</v>
      </c>
      <c r="L7"/>
    </row>
    <row r="8" spans="1:12" ht="14.4" x14ac:dyDescent="0.3">
      <c r="A8" s="272" t="s">
        <v>838</v>
      </c>
      <c r="B8" s="273" t="s">
        <v>684</v>
      </c>
      <c r="C8" s="274">
        <v>40.630000000000003</v>
      </c>
      <c r="D8" s="276">
        <v>2610</v>
      </c>
      <c r="E8" s="276" t="s">
        <v>665</v>
      </c>
      <c r="F8" s="276"/>
      <c r="G8" s="277" t="s">
        <v>679</v>
      </c>
      <c r="H8" s="313" t="s">
        <v>146</v>
      </c>
      <c r="J8" s="99" t="s">
        <v>663</v>
      </c>
      <c r="K8">
        <v>23.15</v>
      </c>
      <c r="L8"/>
    </row>
    <row r="9" spans="1:12" ht="14.4" x14ac:dyDescent="0.3">
      <c r="A9" s="272" t="s">
        <v>839</v>
      </c>
      <c r="B9" s="273" t="s">
        <v>701</v>
      </c>
      <c r="C9" s="274">
        <v>7.05</v>
      </c>
      <c r="D9" s="276"/>
      <c r="E9" s="276" t="s">
        <v>840</v>
      </c>
      <c r="F9" s="276"/>
      <c r="G9" s="277"/>
      <c r="H9" s="313">
        <v>0</v>
      </c>
      <c r="J9" s="99" t="s">
        <v>701</v>
      </c>
      <c r="K9">
        <v>8.5399999999999991</v>
      </c>
      <c r="L9"/>
    </row>
    <row r="10" spans="1:12" ht="14.4" x14ac:dyDescent="0.3">
      <c r="A10" s="272" t="s">
        <v>841</v>
      </c>
      <c r="B10" s="273" t="s">
        <v>701</v>
      </c>
      <c r="C10" s="274">
        <v>6.67</v>
      </c>
      <c r="D10" s="276"/>
      <c r="E10" s="276" t="s">
        <v>840</v>
      </c>
      <c r="F10" s="276"/>
      <c r="G10" s="277"/>
      <c r="H10" s="313">
        <v>0</v>
      </c>
      <c r="J10" s="90">
        <v>2</v>
      </c>
      <c r="K10">
        <v>78.94</v>
      </c>
      <c r="L10"/>
    </row>
    <row r="11" spans="1:12" ht="14.4" x14ac:dyDescent="0.3">
      <c r="A11" s="272" t="s">
        <v>842</v>
      </c>
      <c r="B11" s="273" t="s">
        <v>701</v>
      </c>
      <c r="C11" s="274">
        <v>8.5399999999999991</v>
      </c>
      <c r="D11" s="276"/>
      <c r="E11" s="276" t="s">
        <v>840</v>
      </c>
      <c r="F11" s="276"/>
      <c r="G11" s="277"/>
      <c r="H11" s="313">
        <v>0</v>
      </c>
      <c r="J11" s="99" t="s">
        <v>664</v>
      </c>
      <c r="K11">
        <v>21.53</v>
      </c>
      <c r="L11"/>
    </row>
    <row r="12" spans="1:12" ht="14.4" x14ac:dyDescent="0.3">
      <c r="A12" s="272" t="s">
        <v>843</v>
      </c>
      <c r="B12" s="273" t="s">
        <v>664</v>
      </c>
      <c r="C12" s="274">
        <v>46.13</v>
      </c>
      <c r="D12" s="276" t="s">
        <v>844</v>
      </c>
      <c r="E12" s="276" t="s">
        <v>665</v>
      </c>
      <c r="F12" s="276"/>
      <c r="G12" s="277" t="s">
        <v>845</v>
      </c>
      <c r="H12" s="313" t="s">
        <v>127</v>
      </c>
      <c r="I12" s="281"/>
      <c r="J12" s="99" t="s">
        <v>830</v>
      </c>
      <c r="K12">
        <v>57.41</v>
      </c>
      <c r="L12"/>
    </row>
    <row r="13" spans="1:12" ht="14.4" x14ac:dyDescent="0.3">
      <c r="A13" s="272" t="s">
        <v>846</v>
      </c>
      <c r="B13" s="273" t="s">
        <v>664</v>
      </c>
      <c r="C13" s="274">
        <v>12.82</v>
      </c>
      <c r="D13" s="276">
        <v>2340</v>
      </c>
      <c r="E13" s="276" t="s">
        <v>665</v>
      </c>
      <c r="F13" s="276"/>
      <c r="G13" s="277"/>
      <c r="H13" s="313" t="s">
        <v>127</v>
      </c>
      <c r="I13" s="281"/>
      <c r="J13" s="90">
        <v>3</v>
      </c>
      <c r="K13">
        <v>79.83</v>
      </c>
      <c r="L13"/>
    </row>
    <row r="14" spans="1:12" ht="14.4" x14ac:dyDescent="0.3">
      <c r="A14" s="272" t="s">
        <v>847</v>
      </c>
      <c r="B14" s="273" t="s">
        <v>664</v>
      </c>
      <c r="C14" s="274">
        <v>21.53</v>
      </c>
      <c r="D14" s="276">
        <v>2340</v>
      </c>
      <c r="E14" s="276" t="s">
        <v>665</v>
      </c>
      <c r="F14" s="276"/>
      <c r="G14" s="277"/>
      <c r="H14" s="313" t="s">
        <v>497</v>
      </c>
      <c r="J14" s="99" t="s">
        <v>664</v>
      </c>
      <c r="K14">
        <v>79.83</v>
      </c>
      <c r="L14"/>
    </row>
    <row r="15" spans="1:12" ht="14.4" x14ac:dyDescent="0.3">
      <c r="A15" s="272" t="s">
        <v>848</v>
      </c>
      <c r="B15" s="273" t="s">
        <v>727</v>
      </c>
      <c r="C15" s="274">
        <v>14.3</v>
      </c>
      <c r="D15" s="276">
        <v>2340</v>
      </c>
      <c r="E15" s="276" t="s">
        <v>665</v>
      </c>
      <c r="F15" s="276"/>
      <c r="G15" s="277"/>
      <c r="H15" s="313" t="s">
        <v>331</v>
      </c>
      <c r="J15" s="90">
        <v>5</v>
      </c>
      <c r="K15">
        <v>155.79</v>
      </c>
      <c r="L15"/>
    </row>
    <row r="16" spans="1:12" ht="14.4" x14ac:dyDescent="0.3">
      <c r="A16" s="272" t="s">
        <v>849</v>
      </c>
      <c r="B16" s="273" t="s">
        <v>663</v>
      </c>
      <c r="C16" s="274">
        <v>23.15</v>
      </c>
      <c r="D16" s="276">
        <v>2600</v>
      </c>
      <c r="E16" s="276" t="s">
        <v>665</v>
      </c>
      <c r="F16" s="276"/>
      <c r="G16" s="277" t="s">
        <v>679</v>
      </c>
      <c r="H16" s="313" t="s">
        <v>331</v>
      </c>
      <c r="J16" s="99" t="s">
        <v>684</v>
      </c>
      <c r="K16">
        <v>40.630000000000003</v>
      </c>
      <c r="L16"/>
    </row>
    <row r="17" spans="1:12" ht="14.4" x14ac:dyDescent="0.3">
      <c r="A17" s="272" t="s">
        <v>850</v>
      </c>
      <c r="B17" s="273" t="s">
        <v>720</v>
      </c>
      <c r="C17" s="274">
        <v>39.340000000000003</v>
      </c>
      <c r="D17" s="276">
        <v>2600</v>
      </c>
      <c r="E17" s="276" t="s">
        <v>665</v>
      </c>
      <c r="F17" s="276"/>
      <c r="G17" s="277" t="s">
        <v>679</v>
      </c>
      <c r="H17" s="313" t="s">
        <v>331</v>
      </c>
      <c r="J17" s="99" t="s">
        <v>678</v>
      </c>
      <c r="K17">
        <v>115.16</v>
      </c>
      <c r="L17"/>
    </row>
    <row r="18" spans="1:12" ht="14.4" x14ac:dyDescent="0.3">
      <c r="A18" s="272" t="s">
        <v>851</v>
      </c>
      <c r="B18" s="273" t="s">
        <v>727</v>
      </c>
      <c r="C18" s="274">
        <v>9.84</v>
      </c>
      <c r="D18" s="276">
        <v>2700</v>
      </c>
      <c r="E18" s="276" t="s">
        <v>665</v>
      </c>
      <c r="F18" s="276"/>
      <c r="G18" s="277"/>
      <c r="H18" s="313" t="s">
        <v>331</v>
      </c>
      <c r="J18" s="90" t="s">
        <v>152</v>
      </c>
      <c r="K18">
        <v>79.740000000000009</v>
      </c>
      <c r="L18"/>
    </row>
    <row r="19" spans="1:12" ht="14.4" x14ac:dyDescent="0.3">
      <c r="A19" s="272" t="s">
        <v>852</v>
      </c>
      <c r="B19" s="273" t="s">
        <v>664</v>
      </c>
      <c r="C19" s="274">
        <v>20.88</v>
      </c>
      <c r="D19" s="276">
        <v>2860</v>
      </c>
      <c r="E19" s="276" t="s">
        <v>665</v>
      </c>
      <c r="F19" s="276"/>
      <c r="G19" s="277" t="s">
        <v>679</v>
      </c>
      <c r="H19" s="313" t="s">
        <v>127</v>
      </c>
      <c r="J19" s="99" t="s">
        <v>699</v>
      </c>
      <c r="K19">
        <v>6.4</v>
      </c>
    </row>
    <row r="20" spans="1:12" ht="14.4" x14ac:dyDescent="0.3">
      <c r="A20" s="272" t="s">
        <v>853</v>
      </c>
      <c r="B20" s="273" t="s">
        <v>678</v>
      </c>
      <c r="C20" s="274">
        <v>54.41</v>
      </c>
      <c r="D20" s="276" t="s">
        <v>854</v>
      </c>
      <c r="E20" s="276" t="s">
        <v>665</v>
      </c>
      <c r="F20" s="276"/>
      <c r="G20" s="277" t="s">
        <v>679</v>
      </c>
      <c r="H20" s="313" t="s">
        <v>146</v>
      </c>
      <c r="J20" s="99" t="s">
        <v>834</v>
      </c>
      <c r="K20">
        <v>64.58</v>
      </c>
    </row>
    <row r="21" spans="1:12" ht="15" thickBot="1" x14ac:dyDescent="0.35">
      <c r="A21" s="297" t="s">
        <v>855</v>
      </c>
      <c r="B21" s="298" t="s">
        <v>710</v>
      </c>
      <c r="C21" s="299">
        <v>8.76</v>
      </c>
      <c r="D21" s="300">
        <v>2690</v>
      </c>
      <c r="E21" s="300" t="s">
        <v>665</v>
      </c>
      <c r="F21" s="300"/>
      <c r="G21" s="301" t="s">
        <v>679</v>
      </c>
      <c r="H21" s="314" t="s">
        <v>152</v>
      </c>
      <c r="J21" s="99" t="s">
        <v>710</v>
      </c>
      <c r="K21">
        <v>8.76</v>
      </c>
    </row>
    <row r="22" spans="1:12" ht="15.6" thickTop="1" thickBot="1" x14ac:dyDescent="0.35">
      <c r="A22" s="352" t="s">
        <v>856</v>
      </c>
      <c r="B22" s="353"/>
      <c r="C22" s="288">
        <f>SUM(C7:C21)</f>
        <v>374.79999999999995</v>
      </c>
      <c r="D22" s="302"/>
      <c r="E22" s="303"/>
      <c r="F22" s="303"/>
      <c r="G22" s="304"/>
      <c r="H22" s="312"/>
      <c r="J22" s="90" t="s">
        <v>122</v>
      </c>
      <c r="K22">
        <v>506.36999999999995</v>
      </c>
    </row>
    <row r="23" spans="1:12" x14ac:dyDescent="0.2">
      <c r="H23" s="315"/>
    </row>
    <row r="24" spans="1:12" x14ac:dyDescent="0.2">
      <c r="H24" s="315"/>
    </row>
    <row r="25" spans="1:12" x14ac:dyDescent="0.2">
      <c r="H25" s="315"/>
    </row>
    <row r="26" spans="1:12" x14ac:dyDescent="0.2">
      <c r="H26" s="315"/>
    </row>
    <row r="27" spans="1:12" x14ac:dyDescent="0.2">
      <c r="H27" s="315"/>
    </row>
    <row r="28" spans="1:12" x14ac:dyDescent="0.2">
      <c r="H28" s="315"/>
    </row>
    <row r="29" spans="1:12" x14ac:dyDescent="0.2">
      <c r="H29" s="315"/>
    </row>
    <row r="30" spans="1:12" x14ac:dyDescent="0.2">
      <c r="H30" s="315"/>
    </row>
    <row r="31" spans="1:12" x14ac:dyDescent="0.2">
      <c r="H31" s="315"/>
    </row>
    <row r="32" spans="1:12" x14ac:dyDescent="0.2">
      <c r="H32" s="315"/>
    </row>
    <row r="33" spans="8:8" x14ac:dyDescent="0.2">
      <c r="H33" s="315"/>
    </row>
    <row r="34" spans="8:8" x14ac:dyDescent="0.2">
      <c r="H34" s="315"/>
    </row>
    <row r="35" spans="8:8" x14ac:dyDescent="0.2">
      <c r="H35" s="315"/>
    </row>
    <row r="36" spans="8:8" x14ac:dyDescent="0.2">
      <c r="H36" s="315"/>
    </row>
    <row r="37" spans="8:8" x14ac:dyDescent="0.2">
      <c r="H37" s="315"/>
    </row>
    <row r="38" spans="8:8" x14ac:dyDescent="0.2">
      <c r="H38" s="315"/>
    </row>
    <row r="39" spans="8:8" x14ac:dyDescent="0.2">
      <c r="H39" s="315"/>
    </row>
    <row r="156" spans="3:3" x14ac:dyDescent="0.2">
      <c r="C156" s="279" t="str">
        <f>'Dílny 2np'!J11</f>
        <v>KANCELÁŘ</v>
      </c>
    </row>
    <row r="161" spans="6:6" x14ac:dyDescent="0.2">
      <c r="F161" s="259" t="str">
        <f>'Dílny 2np'!J18</f>
        <v>na vyžádání</v>
      </c>
    </row>
  </sheetData>
  <mergeCells count="2">
    <mergeCell ref="A1:G1"/>
    <mergeCell ref="A22:B2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"/>
  <sheetViews>
    <sheetView workbookViewId="0">
      <selection activeCell="C47" sqref="C47"/>
    </sheetView>
  </sheetViews>
  <sheetFormatPr defaultRowHeight="14.4" x14ac:dyDescent="0.3"/>
  <cols>
    <col min="1" max="2" width="12.21875" customWidth="1"/>
    <col min="3" max="3" width="52.5546875" customWidth="1"/>
    <col min="4" max="4" width="18.77734375" customWidth="1"/>
    <col min="5" max="7" width="15.21875" customWidth="1"/>
    <col min="8" max="8" width="12.77734375" customWidth="1"/>
    <col min="9" max="9" width="13.77734375" customWidth="1"/>
  </cols>
  <sheetData>
    <row r="1" spans="1:9" ht="43.2" x14ac:dyDescent="0.3">
      <c r="A1" s="100" t="s">
        <v>6</v>
      </c>
      <c r="B1" s="100" t="s">
        <v>7</v>
      </c>
      <c r="C1" s="100" t="s">
        <v>8</v>
      </c>
      <c r="D1" s="100" t="s">
        <v>9</v>
      </c>
      <c r="E1" s="100" t="s">
        <v>10</v>
      </c>
      <c r="F1" s="100" t="s">
        <v>857</v>
      </c>
      <c r="G1" s="100" t="s">
        <v>858</v>
      </c>
      <c r="H1" s="100" t="s">
        <v>13</v>
      </c>
      <c r="I1" s="100" t="s">
        <v>14</v>
      </c>
    </row>
    <row r="2" spans="1:9" x14ac:dyDescent="0.3">
      <c r="A2" s="2" t="s">
        <v>16</v>
      </c>
      <c r="B2" s="2" t="s">
        <v>17</v>
      </c>
      <c r="C2" s="90" t="s">
        <v>859</v>
      </c>
      <c r="D2" s="2" t="s">
        <v>18</v>
      </c>
      <c r="E2">
        <v>3.8</v>
      </c>
      <c r="F2" s="2"/>
      <c r="G2" s="2"/>
      <c r="H2" s="2"/>
      <c r="I2" s="2"/>
    </row>
    <row r="3" spans="1:9" x14ac:dyDescent="0.3">
      <c r="A3" s="2"/>
      <c r="B3" s="2"/>
      <c r="C3" s="90" t="s">
        <v>860</v>
      </c>
      <c r="D3" s="2" t="s">
        <v>18</v>
      </c>
      <c r="E3">
        <v>763.66</v>
      </c>
      <c r="F3" s="2"/>
      <c r="G3" s="2"/>
      <c r="H3" s="2"/>
      <c r="I3" s="2"/>
    </row>
    <row r="4" spans="1:9" x14ac:dyDescent="0.3">
      <c r="A4" s="2"/>
      <c r="B4" s="2"/>
      <c r="C4" s="90" t="s">
        <v>181</v>
      </c>
      <c r="D4" s="2" t="s">
        <v>18</v>
      </c>
      <c r="E4">
        <v>62.22</v>
      </c>
      <c r="F4" s="2"/>
      <c r="G4" s="2"/>
      <c r="H4" s="2"/>
      <c r="I4" s="2"/>
    </row>
    <row r="5" spans="1:9" x14ac:dyDescent="0.3">
      <c r="A5" s="2"/>
      <c r="B5" s="2"/>
      <c r="C5" s="90" t="s">
        <v>861</v>
      </c>
      <c r="D5" s="2" t="s">
        <v>18</v>
      </c>
      <c r="E5">
        <v>756.38000000000011</v>
      </c>
      <c r="F5" s="2"/>
      <c r="G5" s="2"/>
      <c r="H5" s="2"/>
      <c r="I5" s="2"/>
    </row>
    <row r="6" spans="1:9" x14ac:dyDescent="0.3">
      <c r="A6" s="2"/>
      <c r="B6" s="2"/>
      <c r="C6" s="90" t="s">
        <v>862</v>
      </c>
      <c r="D6" s="2" t="s">
        <v>18</v>
      </c>
      <c r="E6">
        <v>4.05</v>
      </c>
      <c r="F6" s="2"/>
      <c r="G6" s="2"/>
      <c r="H6" s="2"/>
      <c r="I6" s="2"/>
    </row>
    <row r="7" spans="1:9" x14ac:dyDescent="0.3">
      <c r="A7" s="2"/>
      <c r="B7" s="2"/>
      <c r="C7" s="2"/>
      <c r="D7" s="2" t="s">
        <v>18</v>
      </c>
      <c r="E7" s="2"/>
      <c r="F7" s="2"/>
      <c r="G7" s="2"/>
      <c r="H7" s="2"/>
      <c r="I7" s="2"/>
    </row>
    <row r="8" spans="1:9" x14ac:dyDescent="0.3">
      <c r="A8" s="2"/>
      <c r="B8" s="2"/>
      <c r="C8" s="2"/>
      <c r="D8" s="2" t="s">
        <v>18</v>
      </c>
      <c r="E8" s="2"/>
      <c r="F8" s="2"/>
      <c r="G8" s="2"/>
      <c r="H8" s="2"/>
      <c r="I8" s="2"/>
    </row>
    <row r="9" spans="1:9" x14ac:dyDescent="0.3">
      <c r="A9" s="2"/>
      <c r="B9" s="2"/>
      <c r="C9" s="2"/>
      <c r="D9" s="2" t="s">
        <v>18</v>
      </c>
      <c r="E9" s="2"/>
      <c r="F9" s="2"/>
      <c r="G9" s="2"/>
      <c r="H9" s="2"/>
      <c r="I9" s="2"/>
    </row>
    <row r="10" spans="1:9" x14ac:dyDescent="0.3">
      <c r="A10" s="2"/>
      <c r="B10" s="2"/>
      <c r="C10" s="2"/>
      <c r="D10" s="2" t="s">
        <v>18</v>
      </c>
      <c r="E10" s="2"/>
      <c r="F10" s="2"/>
      <c r="G10" s="2"/>
      <c r="H10" s="2"/>
      <c r="I10" s="2"/>
    </row>
    <row r="11" spans="1:9" x14ac:dyDescent="0.3">
      <c r="A11" s="2"/>
      <c r="B11" s="2"/>
      <c r="C11" s="2"/>
      <c r="D11" s="2" t="s">
        <v>18</v>
      </c>
      <c r="E11" s="2"/>
      <c r="F11" s="2"/>
      <c r="G11" s="2"/>
      <c r="H11" s="2"/>
      <c r="I11" s="2"/>
    </row>
    <row r="12" spans="1:9" x14ac:dyDescent="0.3">
      <c r="A12" s="2"/>
      <c r="B12" s="2"/>
      <c r="C12" s="2"/>
      <c r="D12" s="2" t="s">
        <v>18</v>
      </c>
      <c r="E12" s="2"/>
      <c r="F12" s="2"/>
      <c r="G12" s="2"/>
      <c r="H12" s="2"/>
      <c r="I12" s="2"/>
    </row>
    <row r="13" spans="1:9" x14ac:dyDescent="0.3">
      <c r="A13" s="2"/>
      <c r="B13" s="2"/>
      <c r="C13" s="2"/>
      <c r="D13" s="2" t="s">
        <v>18</v>
      </c>
      <c r="E13" s="2"/>
      <c r="F13" s="2"/>
      <c r="G13" s="2"/>
      <c r="H13" s="2"/>
      <c r="I13" s="2"/>
    </row>
    <row r="14" spans="1:9" x14ac:dyDescent="0.3">
      <c r="A14" s="2"/>
      <c r="B14" s="2"/>
      <c r="C14" s="2"/>
      <c r="D14" s="2" t="s">
        <v>18</v>
      </c>
      <c r="E14" s="2"/>
      <c r="F14" s="2"/>
      <c r="G14" s="2"/>
      <c r="H14" s="2"/>
      <c r="I14" s="2"/>
    </row>
    <row r="15" spans="1:9" x14ac:dyDescent="0.3">
      <c r="A15" s="2"/>
      <c r="B15" s="2"/>
      <c r="C15" s="2"/>
      <c r="D15" s="2" t="s">
        <v>18</v>
      </c>
      <c r="E15" s="2"/>
      <c r="F15" s="2"/>
      <c r="G15" s="2"/>
      <c r="H15" s="2"/>
      <c r="I15" s="2"/>
    </row>
    <row r="16" spans="1:9" x14ac:dyDescent="0.3">
      <c r="A16" s="2"/>
      <c r="B16" s="2"/>
      <c r="C16" s="2"/>
      <c r="D16" s="2" t="s">
        <v>18</v>
      </c>
      <c r="E16" s="2"/>
      <c r="F16" s="2"/>
      <c r="G16" s="2"/>
      <c r="H16" s="2"/>
      <c r="I16" s="2"/>
    </row>
    <row r="17" spans="1:9" x14ac:dyDescent="0.3">
      <c r="A17" s="2"/>
      <c r="B17" s="2"/>
      <c r="C17" s="2"/>
      <c r="D17" s="2" t="s">
        <v>18</v>
      </c>
      <c r="E17" s="2"/>
      <c r="F17" s="2"/>
      <c r="G17" s="2"/>
      <c r="H17" s="2"/>
      <c r="I17" s="2"/>
    </row>
    <row r="18" spans="1:9" x14ac:dyDescent="0.3">
      <c r="A18" s="2"/>
      <c r="B18" s="2"/>
      <c r="C18" s="2"/>
      <c r="D18" s="2" t="s">
        <v>18</v>
      </c>
      <c r="E18" s="2"/>
      <c r="F18" s="2"/>
      <c r="G18" s="2"/>
      <c r="H18" s="2"/>
      <c r="I18" s="2"/>
    </row>
    <row r="19" spans="1:9" x14ac:dyDescent="0.3">
      <c r="A19" s="2"/>
      <c r="B19" s="2"/>
      <c r="C19" s="2"/>
      <c r="D19" s="2" t="s">
        <v>18</v>
      </c>
      <c r="E19" s="2"/>
      <c r="F19" s="2"/>
      <c r="G19" s="2"/>
      <c r="H19" s="2"/>
      <c r="I19" s="2"/>
    </row>
    <row r="20" spans="1:9" x14ac:dyDescent="0.3">
      <c r="A20" s="2"/>
      <c r="B20" s="2"/>
      <c r="C20" s="2"/>
      <c r="D20" s="2" t="s">
        <v>18</v>
      </c>
      <c r="E20" s="2"/>
      <c r="F20" s="2"/>
      <c r="G20" s="2"/>
      <c r="H20" s="2"/>
      <c r="I20" s="2"/>
    </row>
    <row r="21" spans="1:9" x14ac:dyDescent="0.3">
      <c r="A21" s="2"/>
      <c r="B21" s="2"/>
      <c r="C21" s="2"/>
      <c r="D21" s="2" t="s">
        <v>18</v>
      </c>
      <c r="E21" s="2"/>
      <c r="F21" s="2"/>
      <c r="G21" s="2"/>
      <c r="H21" s="2"/>
      <c r="I21" s="2"/>
    </row>
    <row r="22" spans="1:9" x14ac:dyDescent="0.3">
      <c r="A22" s="2"/>
      <c r="B22" s="2"/>
      <c r="C22" s="2"/>
      <c r="D22" s="2" t="s">
        <v>18</v>
      </c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 t="s">
        <v>18</v>
      </c>
      <c r="E23" s="2"/>
      <c r="F23" s="2"/>
      <c r="G23" s="2"/>
      <c r="H23" s="2"/>
      <c r="I23" s="2"/>
    </row>
    <row r="24" spans="1:9" x14ac:dyDescent="0.3">
      <c r="A24" s="2"/>
      <c r="B24" s="2"/>
      <c r="C24" s="2"/>
      <c r="D24" s="2" t="s">
        <v>18</v>
      </c>
      <c r="E24" s="2"/>
      <c r="F24" s="2"/>
      <c r="G24" s="2"/>
      <c r="H24" s="2"/>
      <c r="I24" s="2"/>
    </row>
    <row r="25" spans="1:9" x14ac:dyDescent="0.3">
      <c r="A25" s="2"/>
      <c r="B25" s="2"/>
      <c r="C25" s="2"/>
      <c r="D25" s="2" t="s">
        <v>18</v>
      </c>
      <c r="E25" s="2"/>
      <c r="F25" s="2"/>
      <c r="G25" s="2"/>
      <c r="H25" s="2"/>
      <c r="I25" s="2"/>
    </row>
    <row r="26" spans="1:9" x14ac:dyDescent="0.3">
      <c r="D26" s="2" t="s">
        <v>18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00"/>
  <sheetViews>
    <sheetView workbookViewId="0">
      <selection activeCell="A438" sqref="A438"/>
    </sheetView>
  </sheetViews>
  <sheetFormatPr defaultRowHeight="14.4" x14ac:dyDescent="0.3"/>
  <cols>
    <col min="1" max="1" width="10.77734375" bestFit="1" customWidth="1"/>
    <col min="2" max="2" width="10.5546875" bestFit="1" customWidth="1"/>
    <col min="3" max="3" width="18.44140625" bestFit="1" customWidth="1"/>
    <col min="4" max="4" width="28.21875" customWidth="1"/>
    <col min="5" max="5" width="25.21875" customWidth="1"/>
    <col min="6" max="6" width="11.5546875" bestFit="1" customWidth="1"/>
    <col min="7" max="7" width="15.5546875" bestFit="1" customWidth="1"/>
    <col min="9" max="9" width="12.21875" customWidth="1"/>
    <col min="10" max="10" width="11.44140625" customWidth="1"/>
    <col min="12" max="12" width="29.21875" customWidth="1"/>
    <col min="13" max="13" width="19.44140625" customWidth="1"/>
    <col min="14" max="14" width="5" customWidth="1"/>
    <col min="15" max="15" width="6" customWidth="1"/>
    <col min="16" max="16" width="7" customWidth="1"/>
    <col min="17" max="17" width="14.44140625" bestFit="1" customWidth="1"/>
  </cols>
  <sheetData>
    <row r="1" spans="1:13" ht="17.399999999999999" x14ac:dyDescent="0.3">
      <c r="A1" s="34" t="s">
        <v>863</v>
      </c>
      <c r="B1" s="35"/>
      <c r="C1" s="35"/>
      <c r="D1" s="35"/>
      <c r="E1" s="35"/>
      <c r="F1" s="36"/>
      <c r="G1" s="35"/>
      <c r="H1" s="35"/>
      <c r="I1" s="37"/>
      <c r="J1" s="38">
        <f>SUMIFS(F2:F499,J2:J499,"s")</f>
        <v>549.20000000000016</v>
      </c>
    </row>
    <row r="2" spans="1:13" ht="31.2" x14ac:dyDescent="0.3">
      <c r="A2" s="39" t="s">
        <v>70</v>
      </c>
      <c r="B2" s="40" t="s">
        <v>70</v>
      </c>
      <c r="C2" s="40" t="s">
        <v>72</v>
      </c>
      <c r="D2" s="149" t="s">
        <v>864</v>
      </c>
      <c r="E2" s="149" t="s">
        <v>865</v>
      </c>
      <c r="F2" s="150" t="s">
        <v>73</v>
      </c>
      <c r="G2" s="40" t="s">
        <v>866</v>
      </c>
      <c r="H2" s="40" t="s">
        <v>867</v>
      </c>
      <c r="I2" s="151" t="s">
        <v>868</v>
      </c>
      <c r="J2" s="38" t="s">
        <v>869</v>
      </c>
    </row>
    <row r="3" spans="1:13" x14ac:dyDescent="0.3">
      <c r="A3" s="152">
        <v>401</v>
      </c>
      <c r="B3" s="152">
        <v>401</v>
      </c>
      <c r="C3" s="153" t="s">
        <v>181</v>
      </c>
      <c r="D3" s="8" t="s">
        <v>870</v>
      </c>
      <c r="E3" s="8" t="s">
        <v>870</v>
      </c>
      <c r="F3" s="154">
        <v>10.85</v>
      </c>
      <c r="G3" s="155" t="s">
        <v>298</v>
      </c>
      <c r="H3" s="92"/>
      <c r="I3" s="156" t="s">
        <v>871</v>
      </c>
      <c r="J3" s="157"/>
    </row>
    <row r="4" spans="1:13" ht="15.6" x14ac:dyDescent="0.3">
      <c r="A4" s="152" t="s">
        <v>872</v>
      </c>
      <c r="B4" s="152" t="s">
        <v>873</v>
      </c>
      <c r="C4" s="153" t="s">
        <v>322</v>
      </c>
      <c r="D4" s="8" t="s">
        <v>870</v>
      </c>
      <c r="E4" s="8" t="s">
        <v>870</v>
      </c>
      <c r="F4" s="154">
        <v>10.23</v>
      </c>
      <c r="G4" s="155" t="s">
        <v>298</v>
      </c>
      <c r="H4" s="92"/>
      <c r="I4" s="158" t="s">
        <v>874</v>
      </c>
      <c r="J4" s="157"/>
      <c r="L4" s="89" t="s">
        <v>68</v>
      </c>
      <c r="M4" t="s">
        <v>69</v>
      </c>
    </row>
    <row r="5" spans="1:13" ht="15.6" x14ac:dyDescent="0.3">
      <c r="A5" s="152">
        <v>402</v>
      </c>
      <c r="B5" s="152">
        <v>402</v>
      </c>
      <c r="C5" s="153" t="s">
        <v>183</v>
      </c>
      <c r="D5" s="8" t="s">
        <v>861</v>
      </c>
      <c r="E5" s="8" t="s">
        <v>861</v>
      </c>
      <c r="F5" s="154">
        <v>10.1</v>
      </c>
      <c r="G5" s="153" t="s">
        <v>145</v>
      </c>
      <c r="H5" s="92"/>
      <c r="I5" s="158" t="s">
        <v>874</v>
      </c>
      <c r="J5" s="157"/>
      <c r="L5" s="90" t="s">
        <v>875</v>
      </c>
    </row>
    <row r="6" spans="1:13" ht="15.6" x14ac:dyDescent="0.3">
      <c r="A6" s="152" t="s">
        <v>876</v>
      </c>
      <c r="B6" s="152" t="s">
        <v>876</v>
      </c>
      <c r="C6" s="153" t="s">
        <v>183</v>
      </c>
      <c r="D6" s="8" t="s">
        <v>861</v>
      </c>
      <c r="E6" s="8" t="s">
        <v>861</v>
      </c>
      <c r="F6" s="154">
        <v>5.7</v>
      </c>
      <c r="G6" s="153" t="s">
        <v>334</v>
      </c>
      <c r="H6" s="92"/>
      <c r="I6" s="158" t="s">
        <v>874</v>
      </c>
      <c r="J6" s="157"/>
      <c r="L6" s="99" t="s">
        <v>870</v>
      </c>
      <c r="M6">
        <v>3.5</v>
      </c>
    </row>
    <row r="7" spans="1:13" ht="15.6" x14ac:dyDescent="0.3">
      <c r="A7" s="152" t="s">
        <v>877</v>
      </c>
      <c r="B7" s="152" t="s">
        <v>877</v>
      </c>
      <c r="C7" s="153" t="s">
        <v>183</v>
      </c>
      <c r="D7" s="8" t="s">
        <v>861</v>
      </c>
      <c r="E7" s="8" t="s">
        <v>861</v>
      </c>
      <c r="F7" s="154">
        <v>17</v>
      </c>
      <c r="G7" s="153" t="s">
        <v>334</v>
      </c>
      <c r="H7" s="92"/>
      <c r="I7" s="158" t="s">
        <v>874</v>
      </c>
      <c r="J7" s="157"/>
      <c r="L7" s="90" t="s">
        <v>871</v>
      </c>
    </row>
    <row r="8" spans="1:13" ht="15.6" x14ac:dyDescent="0.3">
      <c r="A8" s="152" t="s">
        <v>878</v>
      </c>
      <c r="B8" s="152" t="s">
        <v>878</v>
      </c>
      <c r="C8" s="153" t="s">
        <v>183</v>
      </c>
      <c r="D8" s="8" t="s">
        <v>861</v>
      </c>
      <c r="E8" s="8" t="s">
        <v>861</v>
      </c>
      <c r="F8" s="154">
        <v>13.5</v>
      </c>
      <c r="G8" s="153" t="s">
        <v>145</v>
      </c>
      <c r="H8" s="92"/>
      <c r="I8" s="158" t="s">
        <v>874</v>
      </c>
      <c r="J8" s="157"/>
      <c r="L8" s="99" t="s">
        <v>870</v>
      </c>
      <c r="M8">
        <v>215.34999999999997</v>
      </c>
    </row>
    <row r="9" spans="1:13" x14ac:dyDescent="0.3">
      <c r="A9" s="152">
        <v>403</v>
      </c>
      <c r="B9" s="152">
        <v>403</v>
      </c>
      <c r="C9" s="153" t="s">
        <v>181</v>
      </c>
      <c r="D9" s="8" t="s">
        <v>870</v>
      </c>
      <c r="E9" s="8" t="s">
        <v>870</v>
      </c>
      <c r="F9" s="154">
        <v>10.199999999999999</v>
      </c>
      <c r="G9" s="153" t="s">
        <v>298</v>
      </c>
      <c r="H9" s="92"/>
      <c r="I9" s="156" t="s">
        <v>871</v>
      </c>
      <c r="J9" s="157"/>
      <c r="L9" s="90" t="s">
        <v>874</v>
      </c>
    </row>
    <row r="10" spans="1:13" ht="15.6" x14ac:dyDescent="0.3">
      <c r="A10" s="152">
        <v>404</v>
      </c>
      <c r="B10" s="152">
        <v>404</v>
      </c>
      <c r="C10" s="153" t="s">
        <v>183</v>
      </c>
      <c r="D10" s="8" t="s">
        <v>861</v>
      </c>
      <c r="E10" s="8" t="s">
        <v>861</v>
      </c>
      <c r="F10" s="154">
        <v>17.100000000000001</v>
      </c>
      <c r="G10" s="153" t="s">
        <v>298</v>
      </c>
      <c r="H10" s="92"/>
      <c r="I10" s="158" t="s">
        <v>874</v>
      </c>
      <c r="J10" s="157"/>
      <c r="L10" s="99" t="s">
        <v>859</v>
      </c>
      <c r="M10">
        <v>47.800000000000004</v>
      </c>
    </row>
    <row r="11" spans="1:13" x14ac:dyDescent="0.3">
      <c r="A11" s="152">
        <v>405</v>
      </c>
      <c r="B11" s="152">
        <v>405</v>
      </c>
      <c r="C11" s="153" t="s">
        <v>181</v>
      </c>
      <c r="D11" s="8" t="s">
        <v>870</v>
      </c>
      <c r="E11" s="8" t="s">
        <v>870</v>
      </c>
      <c r="F11" s="154">
        <v>10.1</v>
      </c>
      <c r="G11" s="153" t="s">
        <v>298</v>
      </c>
      <c r="H11" s="92"/>
      <c r="I11" s="156" t="s">
        <v>871</v>
      </c>
      <c r="J11" s="157"/>
      <c r="L11" s="99" t="s">
        <v>860</v>
      </c>
      <c r="M11">
        <v>454.20000000000005</v>
      </c>
    </row>
    <row r="12" spans="1:13" ht="15.6" x14ac:dyDescent="0.3">
      <c r="A12" s="41" t="s">
        <v>879</v>
      </c>
      <c r="B12" s="41" t="s">
        <v>879</v>
      </c>
      <c r="C12" s="153" t="s">
        <v>183</v>
      </c>
      <c r="D12" s="8" t="s">
        <v>861</v>
      </c>
      <c r="E12" s="8" t="s">
        <v>861</v>
      </c>
      <c r="F12" s="154">
        <v>15.24</v>
      </c>
      <c r="G12" s="153" t="s">
        <v>145</v>
      </c>
      <c r="H12" s="92"/>
      <c r="I12" s="158" t="s">
        <v>874</v>
      </c>
      <c r="J12" s="157"/>
      <c r="L12" s="99" t="s">
        <v>870</v>
      </c>
      <c r="M12">
        <v>10.23</v>
      </c>
    </row>
    <row r="13" spans="1:13" ht="15.6" x14ac:dyDescent="0.3">
      <c r="A13" s="152" t="s">
        <v>880</v>
      </c>
      <c r="B13" s="152" t="s">
        <v>880</v>
      </c>
      <c r="C13" s="153" t="s">
        <v>183</v>
      </c>
      <c r="D13" s="8" t="s">
        <v>861</v>
      </c>
      <c r="E13" s="8" t="s">
        <v>861</v>
      </c>
      <c r="F13" s="154">
        <v>16.3</v>
      </c>
      <c r="G13" s="153" t="s">
        <v>145</v>
      </c>
      <c r="H13" s="92"/>
      <c r="I13" s="158" t="s">
        <v>874</v>
      </c>
      <c r="J13" s="157"/>
      <c r="L13" s="99" t="s">
        <v>861</v>
      </c>
      <c r="M13">
        <v>474.64000000000004</v>
      </c>
    </row>
    <row r="14" spans="1:13" x14ac:dyDescent="0.3">
      <c r="A14" s="152">
        <v>407</v>
      </c>
      <c r="B14" s="152">
        <v>407</v>
      </c>
      <c r="C14" s="153" t="s">
        <v>181</v>
      </c>
      <c r="D14" s="8" t="s">
        <v>870</v>
      </c>
      <c r="E14" s="8" t="s">
        <v>870</v>
      </c>
      <c r="F14" s="154">
        <v>20.9</v>
      </c>
      <c r="G14" s="153" t="s">
        <v>298</v>
      </c>
      <c r="H14" s="92"/>
      <c r="I14" s="156" t="s">
        <v>871</v>
      </c>
      <c r="J14" s="157"/>
      <c r="L14" s="99" t="s">
        <v>881</v>
      </c>
      <c r="M14">
        <v>345.90000000000003</v>
      </c>
    </row>
    <row r="15" spans="1:13" ht="15.6" x14ac:dyDescent="0.3">
      <c r="A15" s="152">
        <v>408</v>
      </c>
      <c r="B15" s="152">
        <v>408</v>
      </c>
      <c r="C15" s="153" t="s">
        <v>183</v>
      </c>
      <c r="D15" s="8" t="s">
        <v>861</v>
      </c>
      <c r="E15" s="8" t="s">
        <v>861</v>
      </c>
      <c r="F15" s="154">
        <v>31.9</v>
      </c>
      <c r="G15" s="153" t="s">
        <v>145</v>
      </c>
      <c r="H15" s="92"/>
      <c r="I15" s="158" t="s">
        <v>874</v>
      </c>
      <c r="J15" s="157"/>
      <c r="L15" s="99" t="s">
        <v>862</v>
      </c>
      <c r="M15">
        <v>4.05</v>
      </c>
    </row>
    <row r="16" spans="1:13" x14ac:dyDescent="0.3">
      <c r="A16" s="152">
        <v>409</v>
      </c>
      <c r="B16" s="152">
        <v>409</v>
      </c>
      <c r="C16" s="153" t="s">
        <v>181</v>
      </c>
      <c r="D16" s="8" t="s">
        <v>870</v>
      </c>
      <c r="E16" s="8" t="s">
        <v>870</v>
      </c>
      <c r="F16" s="154">
        <v>10.1</v>
      </c>
      <c r="G16" s="153" t="s">
        <v>298</v>
      </c>
      <c r="H16" s="92"/>
      <c r="I16" s="156" t="s">
        <v>871</v>
      </c>
      <c r="J16" s="157"/>
      <c r="L16" s="90" t="s">
        <v>122</v>
      </c>
      <c r="M16">
        <v>1555.67</v>
      </c>
    </row>
    <row r="17" spans="1:10" ht="15.6" x14ac:dyDescent="0.3">
      <c r="A17" s="152">
        <v>410</v>
      </c>
      <c r="B17" s="152">
        <v>410</v>
      </c>
      <c r="C17" s="153" t="s">
        <v>882</v>
      </c>
      <c r="D17" s="8" t="s">
        <v>861</v>
      </c>
      <c r="E17" s="8" t="s">
        <v>861</v>
      </c>
      <c r="F17" s="154">
        <v>67.400000000000006</v>
      </c>
      <c r="G17" s="153" t="s">
        <v>145</v>
      </c>
      <c r="H17" s="92"/>
      <c r="I17" s="158" t="s">
        <v>874</v>
      </c>
      <c r="J17" s="157"/>
    </row>
    <row r="18" spans="1:10" x14ac:dyDescent="0.3">
      <c r="A18" s="152">
        <v>411</v>
      </c>
      <c r="B18" s="152">
        <v>411</v>
      </c>
      <c r="C18" s="153" t="s">
        <v>181</v>
      </c>
      <c r="D18" s="8" t="s">
        <v>870</v>
      </c>
      <c r="E18" s="8" t="s">
        <v>870</v>
      </c>
      <c r="F18" s="154">
        <v>10.1</v>
      </c>
      <c r="G18" s="153" t="s">
        <v>298</v>
      </c>
      <c r="H18" s="92"/>
      <c r="I18" s="156" t="s">
        <v>871</v>
      </c>
      <c r="J18" s="157"/>
    </row>
    <row r="19" spans="1:10" ht="15.6" x14ac:dyDescent="0.3">
      <c r="A19" s="152">
        <v>412</v>
      </c>
      <c r="B19" s="152">
        <v>412</v>
      </c>
      <c r="C19" s="153" t="s">
        <v>183</v>
      </c>
      <c r="D19" s="8" t="s">
        <v>861</v>
      </c>
      <c r="E19" s="8" t="s">
        <v>861</v>
      </c>
      <c r="F19" s="154">
        <v>16.3</v>
      </c>
      <c r="G19" s="153" t="s">
        <v>145</v>
      </c>
      <c r="H19" s="92"/>
      <c r="I19" s="158" t="s">
        <v>874</v>
      </c>
      <c r="J19" s="157"/>
    </row>
    <row r="20" spans="1:10" x14ac:dyDescent="0.3">
      <c r="A20" s="152">
        <v>413</v>
      </c>
      <c r="B20" s="152">
        <v>413</v>
      </c>
      <c r="C20" s="153" t="s">
        <v>322</v>
      </c>
      <c r="D20" s="8" t="s">
        <v>870</v>
      </c>
      <c r="E20" s="8" t="s">
        <v>870</v>
      </c>
      <c r="F20" s="154">
        <v>10.6</v>
      </c>
      <c r="G20" s="153" t="s">
        <v>298</v>
      </c>
      <c r="H20" s="92"/>
      <c r="I20" s="156" t="s">
        <v>871</v>
      </c>
      <c r="J20" s="157"/>
    </row>
    <row r="21" spans="1:10" x14ac:dyDescent="0.3">
      <c r="A21" s="152">
        <v>414</v>
      </c>
      <c r="B21" s="152">
        <v>414</v>
      </c>
      <c r="C21" s="153" t="s">
        <v>181</v>
      </c>
      <c r="D21" s="8" t="s">
        <v>870</v>
      </c>
      <c r="E21" s="8" t="s">
        <v>870</v>
      </c>
      <c r="F21" s="154">
        <v>16.2</v>
      </c>
      <c r="G21" s="153" t="s">
        <v>145</v>
      </c>
      <c r="H21" s="92"/>
      <c r="I21" s="156" t="s">
        <v>871</v>
      </c>
      <c r="J21" s="157"/>
    </row>
    <row r="22" spans="1:10" ht="15.6" x14ac:dyDescent="0.3">
      <c r="A22" s="152">
        <v>415</v>
      </c>
      <c r="B22" s="152">
        <v>415</v>
      </c>
      <c r="C22" s="153" t="s">
        <v>883</v>
      </c>
      <c r="D22" s="158" t="s">
        <v>860</v>
      </c>
      <c r="E22" s="159" t="s">
        <v>860</v>
      </c>
      <c r="F22" s="154">
        <v>6.1</v>
      </c>
      <c r="G22" s="153" t="s">
        <v>334</v>
      </c>
      <c r="H22" s="92"/>
      <c r="I22" s="158" t="s">
        <v>874</v>
      </c>
      <c r="J22" s="157"/>
    </row>
    <row r="23" spans="1:10" ht="15.6" x14ac:dyDescent="0.3">
      <c r="A23" s="152" t="s">
        <v>884</v>
      </c>
      <c r="B23" s="152" t="s">
        <v>884</v>
      </c>
      <c r="C23" s="153" t="s">
        <v>883</v>
      </c>
      <c r="D23" s="8" t="s">
        <v>860</v>
      </c>
      <c r="E23" s="8" t="s">
        <v>860</v>
      </c>
      <c r="F23" s="154">
        <v>3.1</v>
      </c>
      <c r="G23" s="153" t="s">
        <v>334</v>
      </c>
      <c r="H23" s="92"/>
      <c r="I23" s="158" t="s">
        <v>874</v>
      </c>
      <c r="J23" s="157"/>
    </row>
    <row r="24" spans="1:10" ht="15.6" x14ac:dyDescent="0.3">
      <c r="A24" s="152">
        <v>416</v>
      </c>
      <c r="B24" s="152">
        <v>416</v>
      </c>
      <c r="C24" s="153" t="s">
        <v>885</v>
      </c>
      <c r="D24" s="8" t="s">
        <v>881</v>
      </c>
      <c r="E24" s="8" t="s">
        <v>881</v>
      </c>
      <c r="F24" s="154">
        <v>68.5</v>
      </c>
      <c r="G24" s="153" t="s">
        <v>145</v>
      </c>
      <c r="H24" s="92"/>
      <c r="I24" s="158" t="s">
        <v>874</v>
      </c>
      <c r="J24" s="157"/>
    </row>
    <row r="25" spans="1:10" x14ac:dyDescent="0.3">
      <c r="A25" s="152" t="s">
        <v>886</v>
      </c>
      <c r="B25" s="152" t="s">
        <v>886</v>
      </c>
      <c r="C25" s="153" t="s">
        <v>181</v>
      </c>
      <c r="D25" s="8" t="s">
        <v>870</v>
      </c>
      <c r="E25" s="8" t="s">
        <v>870</v>
      </c>
      <c r="F25" s="154">
        <v>11</v>
      </c>
      <c r="G25" s="153" t="s">
        <v>379</v>
      </c>
      <c r="H25" s="92"/>
      <c r="I25" s="156" t="s">
        <v>871</v>
      </c>
      <c r="J25" s="157"/>
    </row>
    <row r="26" spans="1:10" x14ac:dyDescent="0.3">
      <c r="A26" s="152" t="s">
        <v>887</v>
      </c>
      <c r="B26" s="152" t="s">
        <v>887</v>
      </c>
      <c r="C26" s="153" t="s">
        <v>181</v>
      </c>
      <c r="D26" s="8" t="s">
        <v>870</v>
      </c>
      <c r="E26" s="8" t="s">
        <v>870</v>
      </c>
      <c r="F26" s="154">
        <v>11.6</v>
      </c>
      <c r="G26" s="153" t="s">
        <v>379</v>
      </c>
      <c r="H26" s="92"/>
      <c r="I26" s="156" t="s">
        <v>871</v>
      </c>
      <c r="J26" s="157"/>
    </row>
    <row r="27" spans="1:10" ht="15.6" x14ac:dyDescent="0.3">
      <c r="A27" s="152">
        <v>418</v>
      </c>
      <c r="B27" s="152">
        <v>418</v>
      </c>
      <c r="C27" s="153" t="s">
        <v>888</v>
      </c>
      <c r="D27" s="8" t="s">
        <v>881</v>
      </c>
      <c r="E27" s="8" t="s">
        <v>881</v>
      </c>
      <c r="F27" s="154">
        <v>65.5</v>
      </c>
      <c r="G27" s="153" t="s">
        <v>145</v>
      </c>
      <c r="H27" s="92"/>
      <c r="I27" s="158" t="s">
        <v>874</v>
      </c>
      <c r="J27" s="157"/>
    </row>
    <row r="28" spans="1:10" ht="15.6" x14ac:dyDescent="0.3">
      <c r="A28" s="152">
        <v>419</v>
      </c>
      <c r="B28" s="152">
        <v>419</v>
      </c>
      <c r="C28" s="153" t="s">
        <v>183</v>
      </c>
      <c r="D28" s="8" t="s">
        <v>861</v>
      </c>
      <c r="E28" s="8" t="s">
        <v>861</v>
      </c>
      <c r="F28" s="154">
        <v>19.399999999999999</v>
      </c>
      <c r="G28" s="153" t="s">
        <v>145</v>
      </c>
      <c r="H28" s="92"/>
      <c r="I28" s="158" t="s">
        <v>874</v>
      </c>
      <c r="J28" s="157"/>
    </row>
    <row r="29" spans="1:10" x14ac:dyDescent="0.3">
      <c r="A29" s="41" t="s">
        <v>889</v>
      </c>
      <c r="B29" s="152"/>
      <c r="C29" s="8" t="s">
        <v>290</v>
      </c>
      <c r="D29" s="8" t="s">
        <v>870</v>
      </c>
      <c r="E29" s="8" t="s">
        <v>870</v>
      </c>
      <c r="F29" s="154">
        <v>3.5</v>
      </c>
      <c r="G29" s="8" t="s">
        <v>145</v>
      </c>
      <c r="H29" s="92"/>
      <c r="I29" s="160" t="s">
        <v>875</v>
      </c>
      <c r="J29" s="157" t="s">
        <v>890</v>
      </c>
    </row>
    <row r="30" spans="1:10" ht="15.6" x14ac:dyDescent="0.3">
      <c r="A30" s="152">
        <v>420</v>
      </c>
      <c r="B30" s="152">
        <v>420</v>
      </c>
      <c r="C30" s="153" t="s">
        <v>888</v>
      </c>
      <c r="D30" s="8" t="s">
        <v>881</v>
      </c>
      <c r="E30" s="8" t="s">
        <v>881</v>
      </c>
      <c r="F30" s="154">
        <v>64.7</v>
      </c>
      <c r="G30" s="153" t="s">
        <v>145</v>
      </c>
      <c r="H30" s="92"/>
      <c r="I30" s="158" t="s">
        <v>874</v>
      </c>
      <c r="J30" s="157"/>
    </row>
    <row r="31" spans="1:10" ht="15.6" x14ac:dyDescent="0.3">
      <c r="A31" s="152">
        <v>422</v>
      </c>
      <c r="B31" s="152">
        <v>422</v>
      </c>
      <c r="C31" s="153" t="s">
        <v>888</v>
      </c>
      <c r="D31" s="8" t="s">
        <v>881</v>
      </c>
      <c r="E31" s="8" t="s">
        <v>881</v>
      </c>
      <c r="F31" s="154">
        <v>65.900000000000006</v>
      </c>
      <c r="G31" s="153" t="s">
        <v>145</v>
      </c>
      <c r="H31" s="92"/>
      <c r="I31" s="158" t="s">
        <v>874</v>
      </c>
      <c r="J31" s="157"/>
    </row>
    <row r="32" spans="1:10" ht="15.6" x14ac:dyDescent="0.3">
      <c r="A32" s="152">
        <v>423</v>
      </c>
      <c r="B32" s="152">
        <v>423</v>
      </c>
      <c r="C32" s="153" t="s">
        <v>183</v>
      </c>
      <c r="D32" s="8" t="s">
        <v>861</v>
      </c>
      <c r="E32" s="8" t="s">
        <v>861</v>
      </c>
      <c r="F32" s="154">
        <v>22.4</v>
      </c>
      <c r="G32" s="153" t="s">
        <v>145</v>
      </c>
      <c r="H32" s="92"/>
      <c r="I32" s="158" t="s">
        <v>874</v>
      </c>
      <c r="J32" s="157"/>
    </row>
    <row r="33" spans="1:10" ht="15.6" x14ac:dyDescent="0.3">
      <c r="A33" s="152">
        <v>424</v>
      </c>
      <c r="B33" s="152">
        <v>424</v>
      </c>
      <c r="C33" s="153" t="s">
        <v>183</v>
      </c>
      <c r="D33" s="8" t="s">
        <v>861</v>
      </c>
      <c r="E33" s="8" t="s">
        <v>861</v>
      </c>
      <c r="F33" s="154">
        <v>34</v>
      </c>
      <c r="G33" s="153" t="s">
        <v>145</v>
      </c>
      <c r="H33" s="92"/>
      <c r="I33" s="158" t="s">
        <v>874</v>
      </c>
      <c r="J33" s="157"/>
    </row>
    <row r="34" spans="1:10" ht="15.6" x14ac:dyDescent="0.3">
      <c r="A34" s="152">
        <v>425</v>
      </c>
      <c r="B34" s="152">
        <v>425</v>
      </c>
      <c r="C34" s="153" t="s">
        <v>891</v>
      </c>
      <c r="D34" s="8" t="s">
        <v>861</v>
      </c>
      <c r="E34" s="8" t="s">
        <v>861</v>
      </c>
      <c r="F34" s="154">
        <v>20.8</v>
      </c>
      <c r="G34" s="153" t="s">
        <v>892</v>
      </c>
      <c r="H34" s="92"/>
      <c r="I34" s="158" t="s">
        <v>874</v>
      </c>
      <c r="J34" s="157"/>
    </row>
    <row r="35" spans="1:10" ht="15.6" x14ac:dyDescent="0.3">
      <c r="A35" s="152">
        <v>426</v>
      </c>
      <c r="B35" s="152">
        <v>426</v>
      </c>
      <c r="C35" s="153" t="s">
        <v>183</v>
      </c>
      <c r="D35" s="8" t="s">
        <v>861</v>
      </c>
      <c r="E35" s="8" t="s">
        <v>861</v>
      </c>
      <c r="F35" s="154">
        <v>31.8</v>
      </c>
      <c r="G35" s="153" t="s">
        <v>145</v>
      </c>
      <c r="H35" s="92"/>
      <c r="I35" s="158" t="s">
        <v>874</v>
      </c>
      <c r="J35" s="157"/>
    </row>
    <row r="36" spans="1:10" ht="15.6" x14ac:dyDescent="0.3">
      <c r="A36" s="152">
        <v>427</v>
      </c>
      <c r="B36" s="152">
        <v>427</v>
      </c>
      <c r="C36" s="153" t="s">
        <v>183</v>
      </c>
      <c r="D36" s="8" t="s">
        <v>861</v>
      </c>
      <c r="E36" s="8" t="s">
        <v>861</v>
      </c>
      <c r="F36" s="154">
        <v>21.3</v>
      </c>
      <c r="G36" s="153" t="s">
        <v>145</v>
      </c>
      <c r="H36" s="92"/>
      <c r="I36" s="158" t="s">
        <v>874</v>
      </c>
      <c r="J36" s="157"/>
    </row>
    <row r="37" spans="1:10" ht="15.6" x14ac:dyDescent="0.3">
      <c r="A37" s="152">
        <v>428</v>
      </c>
      <c r="B37" s="152">
        <v>428</v>
      </c>
      <c r="C37" s="153" t="s">
        <v>183</v>
      </c>
      <c r="D37" s="8" t="s">
        <v>861</v>
      </c>
      <c r="E37" s="8" t="s">
        <v>861</v>
      </c>
      <c r="F37" s="154">
        <v>30.9</v>
      </c>
      <c r="G37" s="153" t="s">
        <v>145</v>
      </c>
      <c r="H37" s="92"/>
      <c r="I37" s="158" t="s">
        <v>874</v>
      </c>
      <c r="J37" s="157"/>
    </row>
    <row r="38" spans="1:10" ht="15.6" x14ac:dyDescent="0.3">
      <c r="A38" s="152">
        <v>429</v>
      </c>
      <c r="B38" s="152">
        <v>429</v>
      </c>
      <c r="C38" s="153" t="s">
        <v>183</v>
      </c>
      <c r="D38" s="8" t="s">
        <v>861</v>
      </c>
      <c r="E38" s="8" t="s">
        <v>861</v>
      </c>
      <c r="F38" s="154">
        <v>11</v>
      </c>
      <c r="G38" s="153" t="s">
        <v>145</v>
      </c>
      <c r="H38" s="92"/>
      <c r="I38" s="158" t="s">
        <v>874</v>
      </c>
      <c r="J38" s="157"/>
    </row>
    <row r="39" spans="1:10" ht="15.6" x14ac:dyDescent="0.3">
      <c r="A39" s="152">
        <v>430</v>
      </c>
      <c r="B39" s="152">
        <v>430</v>
      </c>
      <c r="C39" s="153" t="s">
        <v>183</v>
      </c>
      <c r="D39" s="8" t="s">
        <v>861</v>
      </c>
      <c r="E39" s="8" t="s">
        <v>861</v>
      </c>
      <c r="F39" s="154">
        <v>16.399999999999999</v>
      </c>
      <c r="G39" s="153" t="s">
        <v>145</v>
      </c>
      <c r="H39" s="92"/>
      <c r="I39" s="158" t="s">
        <v>874</v>
      </c>
      <c r="J39" s="157"/>
    </row>
    <row r="40" spans="1:10" ht="15.6" x14ac:dyDescent="0.3">
      <c r="A40" s="152" t="s">
        <v>893</v>
      </c>
      <c r="B40" s="152">
        <v>430</v>
      </c>
      <c r="C40" s="153" t="s">
        <v>183</v>
      </c>
      <c r="D40" s="8" t="s">
        <v>861</v>
      </c>
      <c r="E40" s="8" t="s">
        <v>861</v>
      </c>
      <c r="F40" s="154">
        <v>14.1</v>
      </c>
      <c r="G40" s="153" t="s">
        <v>145</v>
      </c>
      <c r="H40" s="92"/>
      <c r="I40" s="158" t="s">
        <v>874</v>
      </c>
      <c r="J40" s="157"/>
    </row>
    <row r="41" spans="1:10" ht="15.6" x14ac:dyDescent="0.3">
      <c r="A41" s="152">
        <v>431</v>
      </c>
      <c r="B41" s="152" t="s">
        <v>894</v>
      </c>
      <c r="C41" s="153" t="s">
        <v>191</v>
      </c>
      <c r="D41" s="8" t="s">
        <v>881</v>
      </c>
      <c r="E41" s="8" t="s">
        <v>881</v>
      </c>
      <c r="F41" s="154">
        <v>34.5</v>
      </c>
      <c r="G41" s="153" t="s">
        <v>145</v>
      </c>
      <c r="H41" s="92"/>
      <c r="I41" s="158" t="s">
        <v>874</v>
      </c>
      <c r="J41" s="157"/>
    </row>
    <row r="42" spans="1:10" ht="15.6" x14ac:dyDescent="0.3">
      <c r="A42" s="152">
        <v>432</v>
      </c>
      <c r="B42" s="152">
        <v>432</v>
      </c>
      <c r="C42" s="153" t="s">
        <v>209</v>
      </c>
      <c r="D42" s="8" t="s">
        <v>861</v>
      </c>
      <c r="E42" s="8" t="s">
        <v>861</v>
      </c>
      <c r="F42" s="154">
        <v>3.5</v>
      </c>
      <c r="G42" s="153" t="s">
        <v>145</v>
      </c>
      <c r="H42" s="92"/>
      <c r="I42" s="158" t="s">
        <v>874</v>
      </c>
      <c r="J42" s="157"/>
    </row>
    <row r="43" spans="1:10" ht="15.6" x14ac:dyDescent="0.3">
      <c r="A43" s="152" t="s">
        <v>895</v>
      </c>
      <c r="B43" s="152">
        <v>432</v>
      </c>
      <c r="C43" s="153" t="s">
        <v>183</v>
      </c>
      <c r="D43" s="8" t="s">
        <v>861</v>
      </c>
      <c r="E43" s="8" t="s">
        <v>861</v>
      </c>
      <c r="F43" s="154">
        <v>13</v>
      </c>
      <c r="G43" s="153" t="s">
        <v>145</v>
      </c>
      <c r="H43" s="92"/>
      <c r="I43" s="158" t="s">
        <v>874</v>
      </c>
      <c r="J43" s="157"/>
    </row>
    <row r="44" spans="1:10" ht="15.6" x14ac:dyDescent="0.3">
      <c r="A44" s="152" t="s">
        <v>896</v>
      </c>
      <c r="B44" s="152">
        <v>432</v>
      </c>
      <c r="C44" s="153" t="s">
        <v>183</v>
      </c>
      <c r="D44" s="8" t="s">
        <v>861</v>
      </c>
      <c r="E44" s="8" t="s">
        <v>861</v>
      </c>
      <c r="F44" s="154">
        <v>14.8</v>
      </c>
      <c r="G44" s="153" t="s">
        <v>145</v>
      </c>
      <c r="H44" s="92"/>
      <c r="I44" s="158" t="s">
        <v>874</v>
      </c>
      <c r="J44" s="157"/>
    </row>
    <row r="45" spans="1:10" ht="15.6" x14ac:dyDescent="0.3">
      <c r="A45" s="152">
        <v>435</v>
      </c>
      <c r="B45" s="152">
        <v>435</v>
      </c>
      <c r="C45" s="153" t="s">
        <v>191</v>
      </c>
      <c r="D45" s="153" t="s">
        <v>881</v>
      </c>
      <c r="E45" s="153" t="s">
        <v>881</v>
      </c>
      <c r="F45" s="154">
        <v>46.8</v>
      </c>
      <c r="G45" s="153" t="s">
        <v>145</v>
      </c>
      <c r="H45" s="92"/>
      <c r="I45" s="158" t="s">
        <v>874</v>
      </c>
      <c r="J45" s="157"/>
    </row>
    <row r="46" spans="1:10" x14ac:dyDescent="0.3">
      <c r="A46" s="152">
        <v>437</v>
      </c>
      <c r="B46" s="152">
        <v>437</v>
      </c>
      <c r="C46" s="153" t="s">
        <v>181</v>
      </c>
      <c r="D46" s="8" t="s">
        <v>870</v>
      </c>
      <c r="E46" s="8" t="s">
        <v>870</v>
      </c>
      <c r="F46" s="154">
        <v>21.7</v>
      </c>
      <c r="G46" s="153" t="s">
        <v>298</v>
      </c>
      <c r="H46" s="92"/>
      <c r="I46" s="156" t="s">
        <v>871</v>
      </c>
      <c r="J46" s="157"/>
    </row>
    <row r="47" spans="1:10" x14ac:dyDescent="0.3">
      <c r="A47" s="152">
        <v>439</v>
      </c>
      <c r="B47" s="152">
        <v>439</v>
      </c>
      <c r="C47" s="153" t="s">
        <v>181</v>
      </c>
      <c r="D47" s="8" t="s">
        <v>870</v>
      </c>
      <c r="E47" s="8" t="s">
        <v>870</v>
      </c>
      <c r="F47" s="154">
        <v>10.199999999999999</v>
      </c>
      <c r="G47" s="153" t="s">
        <v>145</v>
      </c>
      <c r="H47" s="92"/>
      <c r="I47" s="156" t="s">
        <v>871</v>
      </c>
      <c r="J47" s="157"/>
    </row>
    <row r="48" spans="1:10" x14ac:dyDescent="0.3">
      <c r="A48" s="152">
        <v>441</v>
      </c>
      <c r="B48" s="152">
        <v>441</v>
      </c>
      <c r="C48" s="153" t="s">
        <v>181</v>
      </c>
      <c r="D48" s="8" t="s">
        <v>870</v>
      </c>
      <c r="E48" s="8" t="s">
        <v>870</v>
      </c>
      <c r="F48" s="154">
        <v>10.199999999999999</v>
      </c>
      <c r="G48" s="153" t="s">
        <v>145</v>
      </c>
      <c r="H48" s="92"/>
      <c r="I48" s="156" t="s">
        <v>871</v>
      </c>
      <c r="J48" s="157"/>
    </row>
    <row r="49" spans="1:10" x14ac:dyDescent="0.3">
      <c r="A49" s="152">
        <v>443</v>
      </c>
      <c r="B49" s="152">
        <v>443</v>
      </c>
      <c r="C49" s="153" t="s">
        <v>181</v>
      </c>
      <c r="D49" s="8" t="s">
        <v>870</v>
      </c>
      <c r="E49" s="8" t="s">
        <v>870</v>
      </c>
      <c r="F49" s="154">
        <v>20.9</v>
      </c>
      <c r="G49" s="153" t="s">
        <v>298</v>
      </c>
      <c r="H49" s="92"/>
      <c r="I49" s="156" t="s">
        <v>871</v>
      </c>
      <c r="J49" s="157"/>
    </row>
    <row r="50" spans="1:10" ht="15.6" x14ac:dyDescent="0.3">
      <c r="A50" s="152">
        <v>445</v>
      </c>
      <c r="B50" s="152">
        <v>445</v>
      </c>
      <c r="C50" s="153" t="s">
        <v>183</v>
      </c>
      <c r="D50" s="8" t="s">
        <v>861</v>
      </c>
      <c r="E50" s="8" t="s">
        <v>861</v>
      </c>
      <c r="F50" s="154">
        <v>10.7</v>
      </c>
      <c r="G50" s="153" t="s">
        <v>897</v>
      </c>
      <c r="H50" s="92"/>
      <c r="I50" s="158" t="s">
        <v>874</v>
      </c>
      <c r="J50" s="157"/>
    </row>
    <row r="51" spans="1:10" x14ac:dyDescent="0.3">
      <c r="A51" s="152">
        <v>447</v>
      </c>
      <c r="B51" s="152">
        <v>447</v>
      </c>
      <c r="C51" s="153" t="s">
        <v>181</v>
      </c>
      <c r="D51" s="8" t="s">
        <v>870</v>
      </c>
      <c r="E51" s="8" t="s">
        <v>870</v>
      </c>
      <c r="F51" s="154">
        <v>10.1</v>
      </c>
      <c r="G51" s="153" t="s">
        <v>145</v>
      </c>
      <c r="H51" s="92"/>
      <c r="I51" s="156" t="s">
        <v>871</v>
      </c>
      <c r="J51" s="157"/>
    </row>
    <row r="52" spans="1:10" x14ac:dyDescent="0.3">
      <c r="A52" s="152">
        <v>449</v>
      </c>
      <c r="B52" s="152">
        <v>449</v>
      </c>
      <c r="C52" s="153" t="s">
        <v>322</v>
      </c>
      <c r="D52" s="8" t="s">
        <v>870</v>
      </c>
      <c r="E52" s="8" t="s">
        <v>870</v>
      </c>
      <c r="F52" s="154">
        <v>20.6</v>
      </c>
      <c r="G52" s="153" t="s">
        <v>145</v>
      </c>
      <c r="H52" s="92"/>
      <c r="I52" s="156" t="s">
        <v>871</v>
      </c>
      <c r="J52" s="157"/>
    </row>
    <row r="53" spans="1:10" ht="15.6" x14ac:dyDescent="0.3">
      <c r="A53" s="152">
        <v>450</v>
      </c>
      <c r="B53" s="152"/>
      <c r="C53" s="153" t="s">
        <v>176</v>
      </c>
      <c r="D53" s="156" t="s">
        <v>859</v>
      </c>
      <c r="E53" s="156" t="s">
        <v>859</v>
      </c>
      <c r="F53" s="154">
        <v>9.1</v>
      </c>
      <c r="G53" s="153" t="s">
        <v>89</v>
      </c>
      <c r="H53" s="92"/>
      <c r="I53" s="158" t="s">
        <v>874</v>
      </c>
      <c r="J53" s="157"/>
    </row>
    <row r="54" spans="1:10" ht="15.6" x14ac:dyDescent="0.3">
      <c r="A54" s="152">
        <v>451</v>
      </c>
      <c r="B54" s="152"/>
      <c r="C54" s="153" t="s">
        <v>176</v>
      </c>
      <c r="D54" s="156" t="s">
        <v>859</v>
      </c>
      <c r="E54" s="156" t="s">
        <v>859</v>
      </c>
      <c r="F54" s="154">
        <v>9</v>
      </c>
      <c r="G54" s="153" t="s">
        <v>89</v>
      </c>
      <c r="H54" s="92"/>
      <c r="I54" s="158" t="s">
        <v>874</v>
      </c>
      <c r="J54" s="157"/>
    </row>
    <row r="55" spans="1:10" ht="15.6" x14ac:dyDescent="0.3">
      <c r="A55" s="152">
        <v>452</v>
      </c>
      <c r="B55" s="152"/>
      <c r="C55" s="153" t="s">
        <v>176</v>
      </c>
      <c r="D55" s="156" t="s">
        <v>859</v>
      </c>
      <c r="E55" s="156" t="s">
        <v>859</v>
      </c>
      <c r="F55" s="154">
        <v>14.8</v>
      </c>
      <c r="G55" s="153" t="s">
        <v>89</v>
      </c>
      <c r="H55" s="92"/>
      <c r="I55" s="158" t="s">
        <v>874</v>
      </c>
      <c r="J55" s="157"/>
    </row>
    <row r="56" spans="1:10" ht="15.6" x14ac:dyDescent="0.3">
      <c r="A56" s="152">
        <v>453</v>
      </c>
      <c r="B56" s="152"/>
      <c r="C56" s="153" t="s">
        <v>176</v>
      </c>
      <c r="D56" s="156" t="s">
        <v>859</v>
      </c>
      <c r="E56" s="156" t="s">
        <v>859</v>
      </c>
      <c r="F56" s="154">
        <v>14.9</v>
      </c>
      <c r="G56" s="153" t="s">
        <v>89</v>
      </c>
      <c r="H56" s="92"/>
      <c r="I56" s="158" t="s">
        <v>874</v>
      </c>
      <c r="J56" s="157"/>
    </row>
    <row r="57" spans="1:10" ht="15.6" x14ac:dyDescent="0.3">
      <c r="A57" s="152">
        <v>490</v>
      </c>
      <c r="B57" s="152"/>
      <c r="C57" s="153" t="s">
        <v>319</v>
      </c>
      <c r="D57" s="8" t="s">
        <v>860</v>
      </c>
      <c r="E57" s="8" t="s">
        <v>860</v>
      </c>
      <c r="F57" s="154">
        <v>22.7</v>
      </c>
      <c r="G57" s="153" t="s">
        <v>89</v>
      </c>
      <c r="H57" s="92"/>
      <c r="I57" s="158" t="s">
        <v>874</v>
      </c>
      <c r="J57" s="157"/>
    </row>
    <row r="58" spans="1:10" ht="15.6" x14ac:dyDescent="0.3">
      <c r="A58" s="152">
        <v>491</v>
      </c>
      <c r="B58" s="152"/>
      <c r="C58" s="153" t="s">
        <v>319</v>
      </c>
      <c r="D58" s="8" t="s">
        <v>860</v>
      </c>
      <c r="E58" s="8" t="s">
        <v>860</v>
      </c>
      <c r="F58" s="154">
        <v>25.7</v>
      </c>
      <c r="G58" s="153" t="s">
        <v>89</v>
      </c>
      <c r="H58" s="92"/>
      <c r="I58" s="158" t="s">
        <v>874</v>
      </c>
      <c r="J58" s="157"/>
    </row>
    <row r="59" spans="1:10" ht="15.6" x14ac:dyDescent="0.3">
      <c r="A59" s="152">
        <v>492</v>
      </c>
      <c r="B59" s="152"/>
      <c r="C59" s="153" t="s">
        <v>862</v>
      </c>
      <c r="D59" s="153" t="s">
        <v>862</v>
      </c>
      <c r="E59" s="153" t="s">
        <v>862</v>
      </c>
      <c r="F59" s="154">
        <v>1.2</v>
      </c>
      <c r="G59" s="153"/>
      <c r="H59" s="92"/>
      <c r="I59" s="158" t="s">
        <v>874</v>
      </c>
      <c r="J59" s="157"/>
    </row>
    <row r="60" spans="1:10" ht="15.6" x14ac:dyDescent="0.3">
      <c r="A60" s="152">
        <v>493</v>
      </c>
      <c r="B60" s="152"/>
      <c r="C60" s="153" t="s">
        <v>862</v>
      </c>
      <c r="D60" s="153" t="s">
        <v>862</v>
      </c>
      <c r="E60" s="153" t="s">
        <v>862</v>
      </c>
      <c r="F60" s="154">
        <v>1.2</v>
      </c>
      <c r="G60" s="153"/>
      <c r="H60" s="92"/>
      <c r="I60" s="158" t="s">
        <v>874</v>
      </c>
      <c r="J60" s="157"/>
    </row>
    <row r="61" spans="1:10" ht="15.6" x14ac:dyDescent="0.3">
      <c r="A61" s="152">
        <v>494</v>
      </c>
      <c r="B61" s="152"/>
      <c r="C61" s="153" t="s">
        <v>862</v>
      </c>
      <c r="D61" s="153" t="s">
        <v>862</v>
      </c>
      <c r="E61" s="153" t="s">
        <v>862</v>
      </c>
      <c r="F61" s="154">
        <v>1.65</v>
      </c>
      <c r="G61" s="153"/>
      <c r="H61" s="92"/>
      <c r="I61" s="158" t="s">
        <v>874</v>
      </c>
      <c r="J61" s="157"/>
    </row>
    <row r="62" spans="1:10" ht="15.6" x14ac:dyDescent="0.3">
      <c r="A62" s="152" t="s">
        <v>898</v>
      </c>
      <c r="B62" s="152"/>
      <c r="C62" s="153" t="s">
        <v>86</v>
      </c>
      <c r="D62" s="8" t="s">
        <v>860</v>
      </c>
      <c r="E62" s="8" t="s">
        <v>860</v>
      </c>
      <c r="F62" s="154">
        <v>71.2</v>
      </c>
      <c r="G62" s="153" t="s">
        <v>89</v>
      </c>
      <c r="H62" s="92"/>
      <c r="I62" s="158" t="s">
        <v>874</v>
      </c>
      <c r="J62" s="157"/>
    </row>
    <row r="63" spans="1:10" ht="15.6" x14ac:dyDescent="0.3">
      <c r="A63" s="152" t="s">
        <v>899</v>
      </c>
      <c r="B63" s="152"/>
      <c r="C63" s="153" t="s">
        <v>86</v>
      </c>
      <c r="D63" s="8" t="s">
        <v>860</v>
      </c>
      <c r="E63" s="8" t="s">
        <v>860</v>
      </c>
      <c r="F63" s="154">
        <v>52.8</v>
      </c>
      <c r="G63" s="153" t="s">
        <v>89</v>
      </c>
      <c r="H63" s="92"/>
      <c r="I63" s="158" t="s">
        <v>874</v>
      </c>
      <c r="J63" s="157"/>
    </row>
    <row r="64" spans="1:10" ht="15.6" x14ac:dyDescent="0.3">
      <c r="A64" s="152" t="s">
        <v>900</v>
      </c>
      <c r="B64" s="152"/>
      <c r="C64" s="153" t="s">
        <v>86</v>
      </c>
      <c r="D64" s="8" t="s">
        <v>860</v>
      </c>
      <c r="E64" s="8" t="s">
        <v>860</v>
      </c>
      <c r="F64" s="154">
        <v>114.8</v>
      </c>
      <c r="G64" s="153" t="s">
        <v>89</v>
      </c>
      <c r="H64" s="92"/>
      <c r="I64" s="158" t="s">
        <v>874</v>
      </c>
      <c r="J64" s="157"/>
    </row>
    <row r="65" spans="1:13" ht="15.6" x14ac:dyDescent="0.3">
      <c r="A65" s="152" t="s">
        <v>901</v>
      </c>
      <c r="B65" s="152"/>
      <c r="C65" s="153" t="s">
        <v>86</v>
      </c>
      <c r="D65" s="8" t="s">
        <v>860</v>
      </c>
      <c r="E65" s="8" t="s">
        <v>860</v>
      </c>
      <c r="F65" s="154">
        <v>69.400000000000006</v>
      </c>
      <c r="G65" s="153" t="s">
        <v>89</v>
      </c>
      <c r="H65" s="92"/>
      <c r="I65" s="158" t="s">
        <v>874</v>
      </c>
      <c r="J65" s="157"/>
    </row>
    <row r="66" spans="1:13" ht="15.6" x14ac:dyDescent="0.3">
      <c r="A66" s="152" t="s">
        <v>902</v>
      </c>
      <c r="B66" s="152"/>
      <c r="C66" s="153" t="s">
        <v>86</v>
      </c>
      <c r="D66" s="8" t="s">
        <v>860</v>
      </c>
      <c r="E66" s="8" t="s">
        <v>860</v>
      </c>
      <c r="F66" s="154">
        <v>24.3</v>
      </c>
      <c r="G66" s="153" t="s">
        <v>89</v>
      </c>
      <c r="H66" s="92"/>
      <c r="I66" s="158" t="s">
        <v>874</v>
      </c>
      <c r="J66" s="157"/>
    </row>
    <row r="67" spans="1:13" ht="15.6" x14ac:dyDescent="0.3">
      <c r="A67" s="152" t="s">
        <v>903</v>
      </c>
      <c r="B67" s="152"/>
      <c r="C67" s="153" t="s">
        <v>86</v>
      </c>
      <c r="D67" s="8" t="s">
        <v>860</v>
      </c>
      <c r="E67" s="8" t="s">
        <v>860</v>
      </c>
      <c r="F67" s="154">
        <v>64.099999999999994</v>
      </c>
      <c r="G67" s="161" t="s">
        <v>89</v>
      </c>
      <c r="H67" s="92"/>
      <c r="I67" s="158" t="s">
        <v>874</v>
      </c>
      <c r="J67" s="157"/>
    </row>
    <row r="68" spans="1:13" ht="15.6" x14ac:dyDescent="0.3">
      <c r="A68" s="42" t="s">
        <v>57</v>
      </c>
      <c r="B68" s="42"/>
      <c r="C68" s="43"/>
      <c r="D68" s="43"/>
      <c r="E68" s="43"/>
      <c r="F68" s="44">
        <f>SUM(F3:F67)</f>
        <v>1555.6699999999998</v>
      </c>
      <c r="G68" s="92"/>
      <c r="H68" s="92"/>
      <c r="I68" s="158" t="s">
        <v>874</v>
      </c>
      <c r="J68" s="157"/>
    </row>
    <row r="69" spans="1:13" ht="15" thickBot="1" x14ac:dyDescent="0.35">
      <c r="A69" s="162"/>
      <c r="B69" s="162"/>
      <c r="C69" s="163"/>
      <c r="D69" s="163"/>
      <c r="E69" s="163"/>
      <c r="F69" s="164"/>
      <c r="G69" s="157"/>
      <c r="H69" s="157"/>
      <c r="I69" s="165"/>
      <c r="J69" s="157"/>
    </row>
    <row r="70" spans="1:13" ht="17.399999999999999" x14ac:dyDescent="0.3">
      <c r="A70" s="34" t="s">
        <v>904</v>
      </c>
      <c r="B70" s="35"/>
      <c r="C70" s="35"/>
      <c r="D70" s="35"/>
      <c r="E70" s="35"/>
      <c r="F70" s="36"/>
      <c r="G70" s="35"/>
      <c r="H70" s="35"/>
      <c r="I70" s="37"/>
      <c r="J70" s="157"/>
    </row>
    <row r="71" spans="1:13" ht="31.8" thickBot="1" x14ac:dyDescent="0.35">
      <c r="A71" s="45" t="s">
        <v>70</v>
      </c>
      <c r="B71" s="6" t="s">
        <v>70</v>
      </c>
      <c r="C71" s="6" t="s">
        <v>72</v>
      </c>
      <c r="D71" s="149" t="s">
        <v>864</v>
      </c>
      <c r="E71" s="149" t="s">
        <v>865</v>
      </c>
      <c r="F71" s="46" t="s">
        <v>73</v>
      </c>
      <c r="G71" s="6" t="s">
        <v>866</v>
      </c>
      <c r="H71" s="6" t="s">
        <v>905</v>
      </c>
      <c r="I71" s="7" t="s">
        <v>868</v>
      </c>
      <c r="J71" s="157"/>
    </row>
    <row r="72" spans="1:13" x14ac:dyDescent="0.3">
      <c r="A72" s="166">
        <v>301</v>
      </c>
      <c r="B72" s="166">
        <v>301</v>
      </c>
      <c r="C72" s="155" t="s">
        <v>181</v>
      </c>
      <c r="D72" s="8" t="s">
        <v>870</v>
      </c>
      <c r="E72" s="8" t="s">
        <v>870</v>
      </c>
      <c r="F72" s="167">
        <v>20.5</v>
      </c>
      <c r="G72" s="153" t="s">
        <v>379</v>
      </c>
      <c r="H72" s="168"/>
      <c r="I72" s="156" t="s">
        <v>871</v>
      </c>
      <c r="J72" s="157"/>
      <c r="L72" s="89" t="s">
        <v>68</v>
      </c>
      <c r="M72" t="s">
        <v>69</v>
      </c>
    </row>
    <row r="73" spans="1:13" ht="15.6" x14ac:dyDescent="0.3">
      <c r="A73" s="152">
        <v>302</v>
      </c>
      <c r="B73" s="152">
        <v>302</v>
      </c>
      <c r="C73" s="153" t="s">
        <v>183</v>
      </c>
      <c r="D73" s="8" t="s">
        <v>861</v>
      </c>
      <c r="E73" s="8" t="s">
        <v>861</v>
      </c>
      <c r="F73" s="154">
        <v>33.5</v>
      </c>
      <c r="G73" s="153" t="s">
        <v>145</v>
      </c>
      <c r="H73" s="92"/>
      <c r="I73" s="158" t="s">
        <v>874</v>
      </c>
      <c r="J73" s="157"/>
      <c r="L73" s="90" t="s">
        <v>875</v>
      </c>
    </row>
    <row r="74" spans="1:13" x14ac:dyDescent="0.3">
      <c r="A74" s="152">
        <v>303</v>
      </c>
      <c r="B74" s="152">
        <v>303</v>
      </c>
      <c r="C74" s="153" t="s">
        <v>181</v>
      </c>
      <c r="D74" s="153" t="s">
        <v>870</v>
      </c>
      <c r="E74" s="153" t="s">
        <v>870</v>
      </c>
      <c r="F74" s="154">
        <v>10</v>
      </c>
      <c r="G74" s="153" t="s">
        <v>145</v>
      </c>
      <c r="H74" s="92"/>
      <c r="I74" s="156" t="s">
        <v>871</v>
      </c>
      <c r="J74" s="157"/>
      <c r="L74" s="99" t="s">
        <v>860</v>
      </c>
      <c r="M74">
        <v>1.6</v>
      </c>
    </row>
    <row r="75" spans="1:13" ht="15.6" x14ac:dyDescent="0.3">
      <c r="A75" s="152">
        <v>304</v>
      </c>
      <c r="B75" s="152">
        <v>304</v>
      </c>
      <c r="C75" s="153" t="s">
        <v>183</v>
      </c>
      <c r="D75" s="153" t="s">
        <v>861</v>
      </c>
      <c r="E75" s="153" t="s">
        <v>861</v>
      </c>
      <c r="F75" s="154">
        <v>31.7</v>
      </c>
      <c r="G75" s="153" t="s">
        <v>145</v>
      </c>
      <c r="H75" s="92"/>
      <c r="I75" s="158" t="s">
        <v>874</v>
      </c>
      <c r="J75" s="157"/>
      <c r="L75" s="90" t="s">
        <v>871</v>
      </c>
    </row>
    <row r="76" spans="1:13" ht="15.6" x14ac:dyDescent="0.3">
      <c r="A76" s="152">
        <v>305</v>
      </c>
      <c r="B76" s="152">
        <v>305</v>
      </c>
      <c r="C76" s="8" t="s">
        <v>906</v>
      </c>
      <c r="D76" s="153" t="s">
        <v>861</v>
      </c>
      <c r="E76" s="153" t="s">
        <v>861</v>
      </c>
      <c r="F76" s="154">
        <v>10.1</v>
      </c>
      <c r="G76" s="153" t="s">
        <v>145</v>
      </c>
      <c r="H76" s="92"/>
      <c r="I76" s="158" t="s">
        <v>874</v>
      </c>
      <c r="J76" s="157"/>
      <c r="L76" s="99" t="s">
        <v>870</v>
      </c>
      <c r="M76">
        <v>341.99999999999994</v>
      </c>
    </row>
    <row r="77" spans="1:13" ht="15.6" x14ac:dyDescent="0.3">
      <c r="A77" s="152">
        <v>306</v>
      </c>
      <c r="B77" s="152">
        <v>306</v>
      </c>
      <c r="C77" s="153" t="s">
        <v>183</v>
      </c>
      <c r="D77" s="153" t="s">
        <v>861</v>
      </c>
      <c r="E77" s="153" t="s">
        <v>861</v>
      </c>
      <c r="F77" s="154">
        <v>31</v>
      </c>
      <c r="G77" s="153" t="s">
        <v>145</v>
      </c>
      <c r="H77" s="92"/>
      <c r="I77" s="158" t="s">
        <v>874</v>
      </c>
      <c r="J77" s="157"/>
      <c r="L77" s="90" t="s">
        <v>874</v>
      </c>
    </row>
    <row r="78" spans="1:13" x14ac:dyDescent="0.3">
      <c r="A78" s="152">
        <v>307</v>
      </c>
      <c r="B78" s="152">
        <v>307</v>
      </c>
      <c r="C78" s="153" t="s">
        <v>181</v>
      </c>
      <c r="D78" s="153" t="s">
        <v>870</v>
      </c>
      <c r="E78" s="153" t="s">
        <v>870</v>
      </c>
      <c r="F78" s="154">
        <v>19.5</v>
      </c>
      <c r="G78" s="153" t="s">
        <v>379</v>
      </c>
      <c r="H78" s="92"/>
      <c r="I78" s="156" t="s">
        <v>871</v>
      </c>
      <c r="J78" s="157"/>
      <c r="L78" s="99" t="s">
        <v>859</v>
      </c>
      <c r="M78">
        <v>47.699999999999996</v>
      </c>
    </row>
    <row r="79" spans="1:13" ht="15.6" x14ac:dyDescent="0.3">
      <c r="A79" s="152">
        <v>308</v>
      </c>
      <c r="B79" s="152">
        <v>308</v>
      </c>
      <c r="C79" s="153" t="s">
        <v>183</v>
      </c>
      <c r="D79" s="153" t="s">
        <v>861</v>
      </c>
      <c r="E79" s="153" t="s">
        <v>861</v>
      </c>
      <c r="F79" s="154">
        <v>31.8</v>
      </c>
      <c r="G79" s="153" t="s">
        <v>145</v>
      </c>
      <c r="H79" s="92"/>
      <c r="I79" s="158" t="s">
        <v>874</v>
      </c>
      <c r="J79" s="157"/>
      <c r="L79" s="99" t="s">
        <v>860</v>
      </c>
      <c r="M79">
        <v>444.90000000000003</v>
      </c>
    </row>
    <row r="80" spans="1:13" x14ac:dyDescent="0.3">
      <c r="A80" s="152">
        <v>309</v>
      </c>
      <c r="B80" s="152">
        <v>309</v>
      </c>
      <c r="C80" s="153" t="s">
        <v>181</v>
      </c>
      <c r="D80" s="153" t="s">
        <v>870</v>
      </c>
      <c r="E80" s="153" t="s">
        <v>870</v>
      </c>
      <c r="F80" s="154">
        <v>10.199999999999999</v>
      </c>
      <c r="G80" s="153" t="s">
        <v>145</v>
      </c>
      <c r="H80" s="92"/>
      <c r="I80" s="156" t="s">
        <v>871</v>
      </c>
      <c r="J80" s="157"/>
      <c r="L80" s="99" t="s">
        <v>861</v>
      </c>
      <c r="M80">
        <v>449.59999999999991</v>
      </c>
    </row>
    <row r="81" spans="1:13" ht="15.6" x14ac:dyDescent="0.3">
      <c r="A81" s="152">
        <v>310</v>
      </c>
      <c r="B81" s="152">
        <v>310</v>
      </c>
      <c r="C81" s="153" t="s">
        <v>885</v>
      </c>
      <c r="D81" s="153" t="s">
        <v>881</v>
      </c>
      <c r="E81" s="153" t="s">
        <v>881</v>
      </c>
      <c r="F81" s="154">
        <v>67.900000000000006</v>
      </c>
      <c r="G81" s="153" t="s">
        <v>145</v>
      </c>
      <c r="H81" s="92"/>
      <c r="I81" s="158" t="s">
        <v>874</v>
      </c>
      <c r="J81" s="157"/>
      <c r="L81" s="99" t="s">
        <v>881</v>
      </c>
      <c r="M81">
        <v>269.45</v>
      </c>
    </row>
    <row r="82" spans="1:13" x14ac:dyDescent="0.3">
      <c r="A82" s="152">
        <v>311</v>
      </c>
      <c r="B82" s="152">
        <v>311</v>
      </c>
      <c r="C82" s="153" t="s">
        <v>181</v>
      </c>
      <c r="D82" s="153" t="s">
        <v>870</v>
      </c>
      <c r="E82" s="153" t="s">
        <v>870</v>
      </c>
      <c r="F82" s="154">
        <v>10.1</v>
      </c>
      <c r="G82" s="153" t="s">
        <v>145</v>
      </c>
      <c r="H82" s="92"/>
      <c r="I82" s="156" t="s">
        <v>871</v>
      </c>
      <c r="J82" s="157"/>
      <c r="L82" s="99" t="s">
        <v>862</v>
      </c>
      <c r="M82">
        <v>4.05</v>
      </c>
    </row>
    <row r="83" spans="1:13" x14ac:dyDescent="0.3">
      <c r="A83" s="152">
        <v>312</v>
      </c>
      <c r="B83" s="152">
        <v>312</v>
      </c>
      <c r="C83" s="153" t="s">
        <v>181</v>
      </c>
      <c r="D83" s="153" t="s">
        <v>870</v>
      </c>
      <c r="E83" s="153" t="s">
        <v>870</v>
      </c>
      <c r="F83" s="154">
        <v>16.2</v>
      </c>
      <c r="G83" s="153" t="s">
        <v>145</v>
      </c>
      <c r="H83" s="92"/>
      <c r="I83" s="156" t="s">
        <v>871</v>
      </c>
      <c r="J83" s="157"/>
      <c r="L83" s="90" t="s">
        <v>122</v>
      </c>
      <c r="M83">
        <v>1559.3</v>
      </c>
    </row>
    <row r="84" spans="1:13" ht="15.6" x14ac:dyDescent="0.3">
      <c r="A84" s="152">
        <v>313</v>
      </c>
      <c r="B84" s="152">
        <v>313</v>
      </c>
      <c r="C84" s="8" t="s">
        <v>907</v>
      </c>
      <c r="D84" s="8" t="s">
        <v>861</v>
      </c>
      <c r="E84" s="8" t="s">
        <v>861</v>
      </c>
      <c r="F84" s="154">
        <v>10.7</v>
      </c>
      <c r="G84" s="153" t="s">
        <v>334</v>
      </c>
      <c r="H84" s="92"/>
      <c r="I84" s="158" t="s">
        <v>874</v>
      </c>
      <c r="J84" s="157"/>
    </row>
    <row r="85" spans="1:13" x14ac:dyDescent="0.3">
      <c r="A85" s="152">
        <v>314</v>
      </c>
      <c r="B85" s="152">
        <v>314</v>
      </c>
      <c r="C85" s="153" t="s">
        <v>181</v>
      </c>
      <c r="D85" s="153" t="s">
        <v>870</v>
      </c>
      <c r="E85" s="153" t="s">
        <v>870</v>
      </c>
      <c r="F85" s="154">
        <v>16.399999999999999</v>
      </c>
      <c r="G85" s="153" t="s">
        <v>145</v>
      </c>
      <c r="H85" s="92"/>
      <c r="I85" s="156" t="s">
        <v>871</v>
      </c>
      <c r="J85" s="157"/>
    </row>
    <row r="86" spans="1:13" ht="15.6" x14ac:dyDescent="0.3">
      <c r="A86" s="152">
        <v>315</v>
      </c>
      <c r="B86" s="152">
        <v>315</v>
      </c>
      <c r="C86" s="153" t="s">
        <v>883</v>
      </c>
      <c r="D86" s="153" t="s">
        <v>861</v>
      </c>
      <c r="E86" s="153" t="s">
        <v>861</v>
      </c>
      <c r="F86" s="154">
        <v>11.2</v>
      </c>
      <c r="G86" s="153" t="s">
        <v>145</v>
      </c>
      <c r="H86" s="92"/>
      <c r="I86" s="158" t="s">
        <v>874</v>
      </c>
      <c r="J86" s="157"/>
    </row>
    <row r="87" spans="1:13" x14ac:dyDescent="0.3">
      <c r="A87" s="152">
        <v>316</v>
      </c>
      <c r="B87" s="152">
        <v>316</v>
      </c>
      <c r="C87" s="153" t="s">
        <v>322</v>
      </c>
      <c r="D87" s="153" t="s">
        <v>870</v>
      </c>
      <c r="E87" s="153" t="s">
        <v>870</v>
      </c>
      <c r="F87" s="154">
        <v>16.399999999999999</v>
      </c>
      <c r="G87" s="153" t="s">
        <v>145</v>
      </c>
      <c r="H87" s="92"/>
      <c r="I87" s="156" t="s">
        <v>871</v>
      </c>
      <c r="J87" s="157"/>
    </row>
    <row r="88" spans="1:13" x14ac:dyDescent="0.3">
      <c r="A88" s="152">
        <v>317</v>
      </c>
      <c r="B88" s="152">
        <v>317</v>
      </c>
      <c r="C88" s="153" t="s">
        <v>181</v>
      </c>
      <c r="D88" s="153" t="s">
        <v>870</v>
      </c>
      <c r="E88" s="153" t="s">
        <v>870</v>
      </c>
      <c r="F88" s="154">
        <v>11</v>
      </c>
      <c r="G88" s="153" t="s">
        <v>145</v>
      </c>
      <c r="H88" s="92"/>
      <c r="I88" s="156" t="s">
        <v>871</v>
      </c>
      <c r="J88" s="157"/>
    </row>
    <row r="89" spans="1:13" x14ac:dyDescent="0.3">
      <c r="A89" s="152">
        <v>318</v>
      </c>
      <c r="B89" s="152">
        <v>318</v>
      </c>
      <c r="C89" s="153" t="s">
        <v>181</v>
      </c>
      <c r="D89" s="153" t="s">
        <v>870</v>
      </c>
      <c r="E89" s="153" t="s">
        <v>870</v>
      </c>
      <c r="F89" s="154">
        <v>16.399999999999999</v>
      </c>
      <c r="G89" s="153" t="s">
        <v>145</v>
      </c>
      <c r="H89" s="92"/>
      <c r="I89" s="156" t="s">
        <v>871</v>
      </c>
      <c r="J89" s="157"/>
    </row>
    <row r="90" spans="1:13" x14ac:dyDescent="0.3">
      <c r="A90" s="152">
        <v>319</v>
      </c>
      <c r="B90" s="152">
        <v>319</v>
      </c>
      <c r="C90" s="153" t="s">
        <v>181</v>
      </c>
      <c r="D90" s="153" t="s">
        <v>870</v>
      </c>
      <c r="E90" s="153" t="s">
        <v>870</v>
      </c>
      <c r="F90" s="154">
        <v>11.2</v>
      </c>
      <c r="G90" s="153" t="s">
        <v>145</v>
      </c>
      <c r="H90" s="92"/>
      <c r="I90" s="156" t="s">
        <v>871</v>
      </c>
      <c r="J90" s="157"/>
    </row>
    <row r="91" spans="1:13" ht="15.6" x14ac:dyDescent="0.3">
      <c r="A91" s="152">
        <v>320</v>
      </c>
      <c r="B91" s="152">
        <v>320</v>
      </c>
      <c r="C91" s="153" t="s">
        <v>885</v>
      </c>
      <c r="D91" s="153" t="s">
        <v>881</v>
      </c>
      <c r="E91" s="153" t="s">
        <v>881</v>
      </c>
      <c r="F91" s="154">
        <v>67.8</v>
      </c>
      <c r="G91" s="153" t="s">
        <v>145</v>
      </c>
      <c r="H91" s="92"/>
      <c r="I91" s="158" t="s">
        <v>874</v>
      </c>
      <c r="J91" s="157"/>
    </row>
    <row r="92" spans="1:13" ht="15.6" x14ac:dyDescent="0.3">
      <c r="A92" s="152">
        <v>321</v>
      </c>
      <c r="B92" s="152">
        <v>321</v>
      </c>
      <c r="C92" s="153" t="s">
        <v>183</v>
      </c>
      <c r="D92" s="153" t="s">
        <v>861</v>
      </c>
      <c r="E92" s="153" t="s">
        <v>861</v>
      </c>
      <c r="F92" s="154">
        <v>22</v>
      </c>
      <c r="G92" s="153" t="s">
        <v>145</v>
      </c>
      <c r="H92" s="92"/>
      <c r="I92" s="158" t="s">
        <v>874</v>
      </c>
      <c r="J92" s="157"/>
    </row>
    <row r="93" spans="1:13" x14ac:dyDescent="0.3">
      <c r="A93" s="41" t="s">
        <v>908</v>
      </c>
      <c r="B93" s="152"/>
      <c r="C93" s="8" t="s">
        <v>290</v>
      </c>
      <c r="D93" s="8" t="s">
        <v>860</v>
      </c>
      <c r="E93" s="8" t="s">
        <v>860</v>
      </c>
      <c r="F93" s="154">
        <v>0.9</v>
      </c>
      <c r="G93" s="8" t="s">
        <v>145</v>
      </c>
      <c r="H93" s="92"/>
      <c r="I93" s="160" t="s">
        <v>875</v>
      </c>
      <c r="J93" s="157"/>
    </row>
    <row r="94" spans="1:13" ht="15.6" x14ac:dyDescent="0.3">
      <c r="A94" s="152">
        <v>322</v>
      </c>
      <c r="B94" s="152">
        <v>322</v>
      </c>
      <c r="C94" s="153" t="s">
        <v>885</v>
      </c>
      <c r="D94" s="153" t="s">
        <v>881</v>
      </c>
      <c r="E94" s="153" t="s">
        <v>881</v>
      </c>
      <c r="F94" s="154">
        <v>65.099999999999994</v>
      </c>
      <c r="G94" s="153" t="s">
        <v>145</v>
      </c>
      <c r="H94" s="92"/>
      <c r="I94" s="158" t="s">
        <v>874</v>
      </c>
      <c r="J94" s="157"/>
    </row>
    <row r="95" spans="1:13" x14ac:dyDescent="0.3">
      <c r="A95" s="152">
        <v>323</v>
      </c>
      <c r="B95" s="152">
        <v>323</v>
      </c>
      <c r="C95" s="153" t="s">
        <v>181</v>
      </c>
      <c r="D95" s="153" t="s">
        <v>870</v>
      </c>
      <c r="E95" s="153" t="s">
        <v>870</v>
      </c>
      <c r="F95" s="154">
        <v>11.2</v>
      </c>
      <c r="G95" s="153" t="s">
        <v>145</v>
      </c>
      <c r="H95" s="92"/>
      <c r="I95" s="156" t="s">
        <v>871</v>
      </c>
      <c r="J95" s="157"/>
    </row>
    <row r="96" spans="1:13" ht="15.6" x14ac:dyDescent="0.3">
      <c r="A96" s="152">
        <v>324</v>
      </c>
      <c r="B96" s="152">
        <v>324</v>
      </c>
      <c r="C96" s="153" t="s">
        <v>909</v>
      </c>
      <c r="D96" s="153" t="s">
        <v>861</v>
      </c>
      <c r="E96" s="153" t="s">
        <v>861</v>
      </c>
      <c r="F96" s="154">
        <v>16.399999999999999</v>
      </c>
      <c r="G96" s="153" t="s">
        <v>284</v>
      </c>
      <c r="H96" s="92"/>
      <c r="I96" s="158" t="s">
        <v>874</v>
      </c>
      <c r="J96" s="157"/>
    </row>
    <row r="97" spans="1:10" x14ac:dyDescent="0.3">
      <c r="A97" s="152">
        <v>325</v>
      </c>
      <c r="B97" s="152">
        <v>325</v>
      </c>
      <c r="C97" s="153" t="s">
        <v>181</v>
      </c>
      <c r="D97" s="153" t="s">
        <v>870</v>
      </c>
      <c r="E97" s="153" t="s">
        <v>870</v>
      </c>
      <c r="F97" s="154">
        <v>11.2</v>
      </c>
      <c r="G97" s="153" t="s">
        <v>334</v>
      </c>
      <c r="H97" s="92"/>
      <c r="I97" s="156" t="s">
        <v>871</v>
      </c>
      <c r="J97" s="157"/>
    </row>
    <row r="98" spans="1:10" ht="15.6" x14ac:dyDescent="0.3">
      <c r="A98" s="152">
        <v>326</v>
      </c>
      <c r="B98" s="152">
        <v>326</v>
      </c>
      <c r="C98" s="153" t="s">
        <v>183</v>
      </c>
      <c r="D98" s="153" t="s">
        <v>861</v>
      </c>
      <c r="E98" s="153" t="s">
        <v>861</v>
      </c>
      <c r="F98" s="154">
        <v>16.3</v>
      </c>
      <c r="G98" s="153" t="s">
        <v>284</v>
      </c>
      <c r="H98" s="92"/>
      <c r="I98" s="158" t="s">
        <v>874</v>
      </c>
      <c r="J98" s="157"/>
    </row>
    <row r="99" spans="1:10" x14ac:dyDescent="0.3">
      <c r="A99" s="152">
        <v>327</v>
      </c>
      <c r="B99" s="152">
        <v>327</v>
      </c>
      <c r="C99" s="153" t="s">
        <v>181</v>
      </c>
      <c r="D99" s="153" t="s">
        <v>870</v>
      </c>
      <c r="E99" s="153" t="s">
        <v>870</v>
      </c>
      <c r="F99" s="154">
        <v>22.5</v>
      </c>
      <c r="G99" s="153" t="s">
        <v>145</v>
      </c>
      <c r="H99" s="92"/>
      <c r="I99" s="156" t="s">
        <v>871</v>
      </c>
      <c r="J99" s="157"/>
    </row>
    <row r="100" spans="1:10" ht="15.6" x14ac:dyDescent="0.3">
      <c r="A100" s="152">
        <v>328</v>
      </c>
      <c r="B100" s="152">
        <v>328</v>
      </c>
      <c r="C100" s="153" t="s">
        <v>183</v>
      </c>
      <c r="D100" s="153" t="s">
        <v>861</v>
      </c>
      <c r="E100" s="153" t="s">
        <v>861</v>
      </c>
      <c r="F100" s="154">
        <v>67.099999999999994</v>
      </c>
      <c r="G100" s="153" t="s">
        <v>145</v>
      </c>
      <c r="H100" s="92"/>
      <c r="I100" s="158" t="s">
        <v>874</v>
      </c>
      <c r="J100" s="157"/>
    </row>
    <row r="101" spans="1:10" ht="15.6" x14ac:dyDescent="0.3">
      <c r="A101" s="152">
        <v>329</v>
      </c>
      <c r="B101" s="152">
        <v>329</v>
      </c>
      <c r="C101" s="153" t="s">
        <v>183</v>
      </c>
      <c r="D101" s="153" t="s">
        <v>861</v>
      </c>
      <c r="E101" s="153" t="s">
        <v>861</v>
      </c>
      <c r="F101" s="154">
        <v>11</v>
      </c>
      <c r="G101" s="153" t="s">
        <v>334</v>
      </c>
      <c r="H101" s="92"/>
      <c r="I101" s="158" t="s">
        <v>874</v>
      </c>
      <c r="J101" s="157"/>
    </row>
    <row r="102" spans="1:10" x14ac:dyDescent="0.3">
      <c r="A102" s="152">
        <v>330</v>
      </c>
      <c r="B102" s="152">
        <v>330</v>
      </c>
      <c r="C102" s="153" t="s">
        <v>181</v>
      </c>
      <c r="D102" s="153" t="s">
        <v>870</v>
      </c>
      <c r="E102" s="153" t="s">
        <v>870</v>
      </c>
      <c r="F102" s="154">
        <v>16.899999999999999</v>
      </c>
      <c r="G102" s="153" t="s">
        <v>145</v>
      </c>
      <c r="H102" s="92"/>
      <c r="I102" s="156" t="s">
        <v>871</v>
      </c>
      <c r="J102" s="157"/>
    </row>
    <row r="103" spans="1:10" ht="15.6" x14ac:dyDescent="0.3">
      <c r="A103" s="152">
        <v>331</v>
      </c>
      <c r="B103" s="152">
        <v>331</v>
      </c>
      <c r="C103" s="153" t="s">
        <v>910</v>
      </c>
      <c r="D103" s="153" t="s">
        <v>861</v>
      </c>
      <c r="E103" s="153" t="s">
        <v>861</v>
      </c>
      <c r="F103" s="154">
        <v>11.1</v>
      </c>
      <c r="G103" s="153" t="s">
        <v>284</v>
      </c>
      <c r="H103" s="92"/>
      <c r="I103" s="158" t="s">
        <v>874</v>
      </c>
      <c r="J103" s="157"/>
    </row>
    <row r="104" spans="1:10" x14ac:dyDescent="0.3">
      <c r="A104" s="152">
        <v>332</v>
      </c>
      <c r="B104" s="152">
        <v>332</v>
      </c>
      <c r="C104" s="153" t="s">
        <v>181</v>
      </c>
      <c r="D104" s="153" t="s">
        <v>870</v>
      </c>
      <c r="E104" s="153" t="s">
        <v>870</v>
      </c>
      <c r="F104" s="154">
        <v>17.100000000000001</v>
      </c>
      <c r="G104" s="153" t="s">
        <v>145</v>
      </c>
      <c r="H104" s="92"/>
      <c r="I104" s="156" t="s">
        <v>871</v>
      </c>
      <c r="J104" s="157"/>
    </row>
    <row r="105" spans="1:10" ht="15.6" x14ac:dyDescent="0.3">
      <c r="A105" s="152">
        <v>333</v>
      </c>
      <c r="B105" s="152">
        <v>333</v>
      </c>
      <c r="C105" s="153" t="s">
        <v>183</v>
      </c>
      <c r="D105" s="153" t="s">
        <v>861</v>
      </c>
      <c r="E105" s="153" t="s">
        <v>861</v>
      </c>
      <c r="F105" s="154">
        <v>10.8</v>
      </c>
      <c r="G105" s="153" t="s">
        <v>145</v>
      </c>
      <c r="H105" s="92"/>
      <c r="I105" s="158" t="s">
        <v>874</v>
      </c>
      <c r="J105" s="157"/>
    </row>
    <row r="106" spans="1:10" ht="15.6" x14ac:dyDescent="0.3">
      <c r="A106" s="152">
        <v>334</v>
      </c>
      <c r="B106" s="152">
        <v>334</v>
      </c>
      <c r="C106" s="153" t="s">
        <v>209</v>
      </c>
      <c r="D106" s="153" t="s">
        <v>861</v>
      </c>
      <c r="E106" s="153" t="s">
        <v>861</v>
      </c>
      <c r="F106" s="154">
        <v>3.2</v>
      </c>
      <c r="G106" s="153" t="s">
        <v>145</v>
      </c>
      <c r="H106" s="92"/>
      <c r="I106" s="158" t="s">
        <v>874</v>
      </c>
      <c r="J106" s="157"/>
    </row>
    <row r="107" spans="1:10" ht="15.6" x14ac:dyDescent="0.3">
      <c r="A107" s="152" t="s">
        <v>911</v>
      </c>
      <c r="B107" s="152" t="s">
        <v>911</v>
      </c>
      <c r="C107" s="153" t="s">
        <v>183</v>
      </c>
      <c r="D107" s="153" t="s">
        <v>861</v>
      </c>
      <c r="E107" s="153" t="s">
        <v>861</v>
      </c>
      <c r="F107" s="154">
        <v>13.4</v>
      </c>
      <c r="G107" s="153" t="s">
        <v>145</v>
      </c>
      <c r="H107" s="92"/>
      <c r="I107" s="158" t="s">
        <v>874</v>
      </c>
      <c r="J107" s="157"/>
    </row>
    <row r="108" spans="1:10" ht="15.6" x14ac:dyDescent="0.3">
      <c r="A108" s="152" t="s">
        <v>912</v>
      </c>
      <c r="B108" s="152" t="s">
        <v>912</v>
      </c>
      <c r="C108" s="153" t="s">
        <v>183</v>
      </c>
      <c r="D108" s="153" t="s">
        <v>861</v>
      </c>
      <c r="E108" s="153" t="s">
        <v>861</v>
      </c>
      <c r="F108" s="154">
        <v>13.8</v>
      </c>
      <c r="G108" s="153" t="s">
        <v>145</v>
      </c>
      <c r="H108" s="92"/>
      <c r="I108" s="158" t="s">
        <v>874</v>
      </c>
      <c r="J108" s="157"/>
    </row>
    <row r="109" spans="1:10" x14ac:dyDescent="0.3">
      <c r="A109" s="152">
        <v>335</v>
      </c>
      <c r="B109" s="152">
        <v>335</v>
      </c>
      <c r="C109" s="153" t="s">
        <v>181</v>
      </c>
      <c r="D109" s="153" t="s">
        <v>870</v>
      </c>
      <c r="E109" s="153" t="s">
        <v>870</v>
      </c>
      <c r="F109" s="154">
        <v>11</v>
      </c>
      <c r="G109" s="153" t="s">
        <v>145</v>
      </c>
      <c r="H109" s="92"/>
      <c r="I109" s="156" t="s">
        <v>871</v>
      </c>
      <c r="J109" s="157"/>
    </row>
    <row r="110" spans="1:10" ht="15.6" x14ac:dyDescent="0.3">
      <c r="A110" s="152">
        <v>336</v>
      </c>
      <c r="B110" s="152">
        <v>336</v>
      </c>
      <c r="C110" s="153" t="s">
        <v>183</v>
      </c>
      <c r="D110" s="153" t="s">
        <v>861</v>
      </c>
      <c r="E110" s="153" t="s">
        <v>861</v>
      </c>
      <c r="F110" s="154">
        <v>16.399999999999999</v>
      </c>
      <c r="G110" s="153" t="s">
        <v>145</v>
      </c>
      <c r="H110" s="92"/>
      <c r="I110" s="158" t="s">
        <v>874</v>
      </c>
      <c r="J110" s="157"/>
    </row>
    <row r="111" spans="1:10" ht="15.6" x14ac:dyDescent="0.3">
      <c r="A111" s="152" t="s">
        <v>913</v>
      </c>
      <c r="B111" s="152" t="s">
        <v>913</v>
      </c>
      <c r="C111" s="153" t="s">
        <v>183</v>
      </c>
      <c r="D111" s="153" t="s">
        <v>861</v>
      </c>
      <c r="E111" s="153" t="s">
        <v>861</v>
      </c>
      <c r="F111" s="154">
        <v>14.3</v>
      </c>
      <c r="G111" s="153" t="s">
        <v>145</v>
      </c>
      <c r="H111" s="92"/>
      <c r="I111" s="158" t="s">
        <v>874</v>
      </c>
      <c r="J111" s="157"/>
    </row>
    <row r="112" spans="1:10" x14ac:dyDescent="0.3">
      <c r="A112" s="152">
        <v>337</v>
      </c>
      <c r="B112" s="152">
        <v>337</v>
      </c>
      <c r="C112" s="153" t="s">
        <v>181</v>
      </c>
      <c r="D112" s="153" t="s">
        <v>870</v>
      </c>
      <c r="E112" s="153" t="s">
        <v>870</v>
      </c>
      <c r="F112" s="154">
        <v>11</v>
      </c>
      <c r="G112" s="153" t="s">
        <v>145</v>
      </c>
      <c r="H112" s="92"/>
      <c r="I112" s="156" t="s">
        <v>871</v>
      </c>
      <c r="J112" s="157"/>
    </row>
    <row r="113" spans="1:10" ht="15.6" x14ac:dyDescent="0.3">
      <c r="A113" s="152">
        <v>338</v>
      </c>
      <c r="B113" s="152">
        <v>338</v>
      </c>
      <c r="C113" s="153" t="s">
        <v>209</v>
      </c>
      <c r="D113" s="153" t="s">
        <v>861</v>
      </c>
      <c r="E113" s="153" t="s">
        <v>861</v>
      </c>
      <c r="F113" s="154">
        <v>3.2</v>
      </c>
      <c r="G113" s="153" t="s">
        <v>145</v>
      </c>
      <c r="H113" s="92"/>
      <c r="I113" s="158" t="s">
        <v>874</v>
      </c>
      <c r="J113" s="157"/>
    </row>
    <row r="114" spans="1:10" ht="15.6" x14ac:dyDescent="0.3">
      <c r="A114" s="152" t="s">
        <v>914</v>
      </c>
      <c r="B114" s="152" t="s">
        <v>914</v>
      </c>
      <c r="C114" s="153" t="s">
        <v>183</v>
      </c>
      <c r="D114" s="153" t="s">
        <v>861</v>
      </c>
      <c r="E114" s="153" t="s">
        <v>861</v>
      </c>
      <c r="F114" s="154">
        <v>13.5</v>
      </c>
      <c r="G114" s="153" t="s">
        <v>145</v>
      </c>
      <c r="H114" s="92"/>
      <c r="I114" s="158" t="s">
        <v>874</v>
      </c>
      <c r="J114" s="157"/>
    </row>
    <row r="115" spans="1:10" ht="15.6" x14ac:dyDescent="0.3">
      <c r="A115" s="152" t="s">
        <v>915</v>
      </c>
      <c r="B115" s="152" t="s">
        <v>915</v>
      </c>
      <c r="C115" s="153" t="s">
        <v>183</v>
      </c>
      <c r="D115" s="153" t="s">
        <v>861</v>
      </c>
      <c r="E115" s="153" t="s">
        <v>861</v>
      </c>
      <c r="F115" s="154">
        <v>13.7</v>
      </c>
      <c r="G115" s="153" t="s">
        <v>145</v>
      </c>
      <c r="H115" s="92"/>
      <c r="I115" s="158" t="s">
        <v>874</v>
      </c>
      <c r="J115" s="157"/>
    </row>
    <row r="116" spans="1:10" x14ac:dyDescent="0.3">
      <c r="A116" s="152">
        <v>339</v>
      </c>
      <c r="B116" s="152">
        <v>339</v>
      </c>
      <c r="C116" s="153" t="s">
        <v>181</v>
      </c>
      <c r="D116" s="153" t="s">
        <v>870</v>
      </c>
      <c r="E116" s="153" t="s">
        <v>870</v>
      </c>
      <c r="F116" s="154">
        <v>11.4</v>
      </c>
      <c r="G116" s="153" t="s">
        <v>145</v>
      </c>
      <c r="H116" s="92"/>
      <c r="I116" s="156" t="s">
        <v>871</v>
      </c>
      <c r="J116" s="157"/>
    </row>
    <row r="117" spans="1:10" x14ac:dyDescent="0.3">
      <c r="A117" s="152" t="s">
        <v>916</v>
      </c>
      <c r="B117" s="152" t="s">
        <v>916</v>
      </c>
      <c r="C117" s="153" t="s">
        <v>917</v>
      </c>
      <c r="D117" s="153" t="s">
        <v>860</v>
      </c>
      <c r="E117" s="153" t="s">
        <v>860</v>
      </c>
      <c r="F117" s="154">
        <v>0.7</v>
      </c>
      <c r="G117" s="153" t="s">
        <v>145</v>
      </c>
      <c r="H117" s="92"/>
      <c r="I117" s="156" t="s">
        <v>875</v>
      </c>
      <c r="J117" s="157" t="s">
        <v>890</v>
      </c>
    </row>
    <row r="118" spans="1:10" ht="15.6" x14ac:dyDescent="0.3">
      <c r="A118" s="152">
        <v>340</v>
      </c>
      <c r="B118" s="152">
        <v>340</v>
      </c>
      <c r="C118" s="153" t="s">
        <v>183</v>
      </c>
      <c r="D118" s="153" t="s">
        <v>861</v>
      </c>
      <c r="E118" s="153" t="s">
        <v>861</v>
      </c>
      <c r="F118" s="154">
        <v>32.200000000000003</v>
      </c>
      <c r="G118" s="153" t="s">
        <v>145</v>
      </c>
      <c r="H118" s="92"/>
      <c r="I118" s="158" t="s">
        <v>874</v>
      </c>
      <c r="J118" s="157"/>
    </row>
    <row r="119" spans="1:10" ht="15.6" x14ac:dyDescent="0.3">
      <c r="A119" s="152">
        <v>341</v>
      </c>
      <c r="B119" s="152">
        <v>341</v>
      </c>
      <c r="C119" s="153" t="s">
        <v>918</v>
      </c>
      <c r="D119" s="153" t="s">
        <v>881</v>
      </c>
      <c r="E119" s="153" t="s">
        <v>881</v>
      </c>
      <c r="F119" s="154">
        <v>46.95</v>
      </c>
      <c r="G119" s="153" t="s">
        <v>145</v>
      </c>
      <c r="H119" s="92"/>
      <c r="I119" s="158" t="s">
        <v>874</v>
      </c>
      <c r="J119" s="157"/>
    </row>
    <row r="120" spans="1:10" ht="15.6" x14ac:dyDescent="0.3">
      <c r="A120" s="152">
        <v>345</v>
      </c>
      <c r="B120" s="152">
        <v>345</v>
      </c>
      <c r="C120" s="153" t="s">
        <v>303</v>
      </c>
      <c r="D120" s="153" t="s">
        <v>881</v>
      </c>
      <c r="E120" s="153" t="s">
        <v>881</v>
      </c>
      <c r="F120" s="154">
        <v>21.7</v>
      </c>
      <c r="G120" s="153" t="s">
        <v>145</v>
      </c>
      <c r="H120" s="92"/>
      <c r="I120" s="158" t="s">
        <v>874</v>
      </c>
      <c r="J120" s="157"/>
    </row>
    <row r="121" spans="1:10" x14ac:dyDescent="0.3">
      <c r="A121" s="152">
        <v>347</v>
      </c>
      <c r="B121" s="152">
        <v>347</v>
      </c>
      <c r="C121" s="153" t="s">
        <v>181</v>
      </c>
      <c r="D121" s="153" t="s">
        <v>870</v>
      </c>
      <c r="E121" s="153" t="s">
        <v>870</v>
      </c>
      <c r="F121" s="154">
        <v>10.199999999999999</v>
      </c>
      <c r="G121" s="153" t="s">
        <v>145</v>
      </c>
      <c r="H121" s="92"/>
      <c r="I121" s="156" t="s">
        <v>871</v>
      </c>
      <c r="J121" s="157"/>
    </row>
    <row r="122" spans="1:10" x14ac:dyDescent="0.3">
      <c r="A122" s="152">
        <v>349</v>
      </c>
      <c r="B122" s="152">
        <v>349</v>
      </c>
      <c r="C122" s="153" t="s">
        <v>181</v>
      </c>
      <c r="D122" s="153" t="s">
        <v>870</v>
      </c>
      <c r="E122" s="153" t="s">
        <v>870</v>
      </c>
      <c r="F122" s="154">
        <v>10.199999999999999</v>
      </c>
      <c r="G122" s="153" t="s">
        <v>379</v>
      </c>
      <c r="H122" s="92"/>
      <c r="I122" s="156" t="s">
        <v>871</v>
      </c>
      <c r="J122" s="157"/>
    </row>
    <row r="123" spans="1:10" x14ac:dyDescent="0.3">
      <c r="A123" s="152">
        <v>351</v>
      </c>
      <c r="B123" s="152">
        <v>351</v>
      </c>
      <c r="C123" s="153" t="s">
        <v>181</v>
      </c>
      <c r="D123" s="153" t="s">
        <v>870</v>
      </c>
      <c r="E123" s="153" t="s">
        <v>870</v>
      </c>
      <c r="F123" s="154">
        <v>10.199999999999999</v>
      </c>
      <c r="G123" s="153" t="s">
        <v>379</v>
      </c>
      <c r="H123" s="92"/>
      <c r="I123" s="156" t="s">
        <v>871</v>
      </c>
      <c r="J123" s="157"/>
    </row>
    <row r="124" spans="1:10" x14ac:dyDescent="0.3">
      <c r="A124" s="152">
        <v>353</v>
      </c>
      <c r="B124" s="152">
        <v>353</v>
      </c>
      <c r="C124" s="153" t="s">
        <v>181</v>
      </c>
      <c r="D124" s="153" t="s">
        <v>870</v>
      </c>
      <c r="E124" s="153" t="s">
        <v>870</v>
      </c>
      <c r="F124" s="154">
        <v>10.6</v>
      </c>
      <c r="G124" s="153" t="s">
        <v>145</v>
      </c>
      <c r="H124" s="92"/>
      <c r="I124" s="156" t="s">
        <v>871</v>
      </c>
      <c r="J124" s="157"/>
    </row>
    <row r="125" spans="1:10" ht="15.6" x14ac:dyDescent="0.3">
      <c r="A125" s="152">
        <v>355</v>
      </c>
      <c r="B125" s="152">
        <v>355</v>
      </c>
      <c r="C125" s="153" t="s">
        <v>891</v>
      </c>
      <c r="D125" s="153" t="s">
        <v>861</v>
      </c>
      <c r="E125" s="153" t="s">
        <v>861</v>
      </c>
      <c r="F125" s="154">
        <v>11.2</v>
      </c>
      <c r="G125" s="153" t="s">
        <v>334</v>
      </c>
      <c r="H125" s="92"/>
      <c r="I125" s="158" t="s">
        <v>874</v>
      </c>
      <c r="J125" s="157"/>
    </row>
    <row r="126" spans="1:10" x14ac:dyDescent="0.3">
      <c r="A126" s="152">
        <v>357</v>
      </c>
      <c r="B126" s="152">
        <v>357</v>
      </c>
      <c r="C126" s="153" t="s">
        <v>181</v>
      </c>
      <c r="D126" s="153" t="s">
        <v>870</v>
      </c>
      <c r="E126" s="153" t="s">
        <v>870</v>
      </c>
      <c r="F126" s="154">
        <v>10</v>
      </c>
      <c r="G126" s="153" t="s">
        <v>379</v>
      </c>
      <c r="H126" s="92"/>
      <c r="I126" s="156" t="s">
        <v>871</v>
      </c>
      <c r="J126" s="157"/>
    </row>
    <row r="127" spans="1:10" x14ac:dyDescent="0.3">
      <c r="A127" s="152">
        <v>359</v>
      </c>
      <c r="B127" s="152">
        <v>359</v>
      </c>
      <c r="C127" s="153" t="s">
        <v>322</v>
      </c>
      <c r="D127" s="153" t="s">
        <v>870</v>
      </c>
      <c r="E127" s="153" t="s">
        <v>870</v>
      </c>
      <c r="F127" s="154">
        <v>20.6</v>
      </c>
      <c r="G127" s="153" t="s">
        <v>145</v>
      </c>
      <c r="H127" s="92"/>
      <c r="I127" s="156" t="s">
        <v>871</v>
      </c>
      <c r="J127" s="157"/>
    </row>
    <row r="128" spans="1:10" ht="15.6" x14ac:dyDescent="0.3">
      <c r="A128" s="152">
        <v>360</v>
      </c>
      <c r="B128" s="152"/>
      <c r="C128" s="153" t="s">
        <v>176</v>
      </c>
      <c r="D128" s="156" t="s">
        <v>859</v>
      </c>
      <c r="E128" s="156" t="s">
        <v>859</v>
      </c>
      <c r="F128" s="154">
        <v>9.1999999999999993</v>
      </c>
      <c r="G128" s="153" t="s">
        <v>284</v>
      </c>
      <c r="H128" s="92"/>
      <c r="I128" s="158" t="s">
        <v>874</v>
      </c>
      <c r="J128" s="157"/>
    </row>
    <row r="129" spans="1:10" ht="15.6" x14ac:dyDescent="0.3">
      <c r="A129" s="152">
        <v>361</v>
      </c>
      <c r="B129" s="152"/>
      <c r="C129" s="153" t="s">
        <v>176</v>
      </c>
      <c r="D129" s="156" t="s">
        <v>859</v>
      </c>
      <c r="E129" s="156" t="s">
        <v>859</v>
      </c>
      <c r="F129" s="154">
        <v>9</v>
      </c>
      <c r="G129" s="153" t="s">
        <v>284</v>
      </c>
      <c r="H129" s="92"/>
      <c r="I129" s="158" t="s">
        <v>874</v>
      </c>
      <c r="J129" s="157"/>
    </row>
    <row r="130" spans="1:10" ht="15.6" x14ac:dyDescent="0.3">
      <c r="A130" s="152">
        <v>362</v>
      </c>
      <c r="B130" s="152"/>
      <c r="C130" s="153" t="s">
        <v>176</v>
      </c>
      <c r="D130" s="156" t="s">
        <v>859</v>
      </c>
      <c r="E130" s="156" t="s">
        <v>859</v>
      </c>
      <c r="F130" s="154">
        <v>14.6</v>
      </c>
      <c r="G130" s="153" t="s">
        <v>284</v>
      </c>
      <c r="H130" s="92"/>
      <c r="I130" s="158" t="s">
        <v>874</v>
      </c>
      <c r="J130" s="157"/>
    </row>
    <row r="131" spans="1:10" ht="15.6" x14ac:dyDescent="0.3">
      <c r="A131" s="152">
        <v>363</v>
      </c>
      <c r="B131" s="152"/>
      <c r="C131" s="153" t="s">
        <v>176</v>
      </c>
      <c r="D131" s="156" t="s">
        <v>859</v>
      </c>
      <c r="E131" s="156" t="s">
        <v>859</v>
      </c>
      <c r="F131" s="154">
        <v>14.9</v>
      </c>
      <c r="G131" s="153" t="s">
        <v>284</v>
      </c>
      <c r="H131" s="92"/>
      <c r="I131" s="158" t="s">
        <v>874</v>
      </c>
      <c r="J131" s="157"/>
    </row>
    <row r="132" spans="1:10" ht="15.6" x14ac:dyDescent="0.3">
      <c r="A132" s="152">
        <v>390</v>
      </c>
      <c r="B132" s="152"/>
      <c r="C132" s="153" t="s">
        <v>319</v>
      </c>
      <c r="D132" s="153" t="s">
        <v>860</v>
      </c>
      <c r="E132" s="153" t="s">
        <v>860</v>
      </c>
      <c r="F132" s="154">
        <v>22.7</v>
      </c>
      <c r="G132" s="153" t="s">
        <v>284</v>
      </c>
      <c r="H132" s="92"/>
      <c r="I132" s="158" t="s">
        <v>874</v>
      </c>
      <c r="J132" s="157"/>
    </row>
    <row r="133" spans="1:10" ht="15.6" x14ac:dyDescent="0.3">
      <c r="A133" s="152">
        <v>391</v>
      </c>
      <c r="B133" s="152"/>
      <c r="C133" s="153" t="s">
        <v>319</v>
      </c>
      <c r="D133" s="153" t="s">
        <v>860</v>
      </c>
      <c r="E133" s="153" t="s">
        <v>860</v>
      </c>
      <c r="F133" s="154">
        <v>25.7</v>
      </c>
      <c r="G133" s="153" t="s">
        <v>284</v>
      </c>
      <c r="H133" s="92"/>
      <c r="I133" s="158" t="s">
        <v>874</v>
      </c>
      <c r="J133" s="157"/>
    </row>
    <row r="134" spans="1:10" ht="15.6" x14ac:dyDescent="0.3">
      <c r="A134" s="152">
        <v>392</v>
      </c>
      <c r="B134" s="152"/>
      <c r="C134" s="153" t="s">
        <v>862</v>
      </c>
      <c r="D134" s="153" t="s">
        <v>862</v>
      </c>
      <c r="E134" s="153" t="s">
        <v>862</v>
      </c>
      <c r="F134" s="154">
        <v>1.2</v>
      </c>
      <c r="G134" s="153"/>
      <c r="H134" s="92"/>
      <c r="I134" s="158" t="s">
        <v>874</v>
      </c>
      <c r="J134" s="157"/>
    </row>
    <row r="135" spans="1:10" ht="15.6" x14ac:dyDescent="0.3">
      <c r="A135" s="152">
        <v>393</v>
      </c>
      <c r="B135" s="152"/>
      <c r="C135" s="153" t="s">
        <v>862</v>
      </c>
      <c r="D135" s="153" t="s">
        <v>862</v>
      </c>
      <c r="E135" s="153" t="s">
        <v>862</v>
      </c>
      <c r="F135" s="154">
        <v>1.2</v>
      </c>
      <c r="G135" s="153"/>
      <c r="H135" s="92"/>
      <c r="I135" s="158" t="s">
        <v>874</v>
      </c>
      <c r="J135" s="157"/>
    </row>
    <row r="136" spans="1:10" ht="15.6" x14ac:dyDescent="0.3">
      <c r="A136" s="152">
        <v>394</v>
      </c>
      <c r="B136" s="152"/>
      <c r="C136" s="153" t="s">
        <v>862</v>
      </c>
      <c r="D136" s="153" t="s">
        <v>862</v>
      </c>
      <c r="E136" s="153" t="s">
        <v>862</v>
      </c>
      <c r="F136" s="154">
        <v>1.65</v>
      </c>
      <c r="G136" s="153"/>
      <c r="H136" s="92"/>
      <c r="I136" s="158" t="s">
        <v>874</v>
      </c>
      <c r="J136" s="157"/>
    </row>
    <row r="137" spans="1:10" ht="15.6" x14ac:dyDescent="0.3">
      <c r="A137" s="152" t="s">
        <v>919</v>
      </c>
      <c r="B137" s="152"/>
      <c r="C137" s="153" t="s">
        <v>86</v>
      </c>
      <c r="D137" s="153" t="s">
        <v>860</v>
      </c>
      <c r="E137" s="153" t="s">
        <v>860</v>
      </c>
      <c r="F137" s="154">
        <v>71.2</v>
      </c>
      <c r="G137" s="153" t="s">
        <v>284</v>
      </c>
      <c r="H137" s="92"/>
      <c r="I137" s="158" t="s">
        <v>874</v>
      </c>
      <c r="J137" s="157"/>
    </row>
    <row r="138" spans="1:10" ht="15.6" x14ac:dyDescent="0.3">
      <c r="A138" s="152" t="s">
        <v>920</v>
      </c>
      <c r="B138" s="152"/>
      <c r="C138" s="153" t="s">
        <v>86</v>
      </c>
      <c r="D138" s="153" t="s">
        <v>860</v>
      </c>
      <c r="E138" s="153" t="s">
        <v>860</v>
      </c>
      <c r="F138" s="154">
        <v>52.8</v>
      </c>
      <c r="G138" s="153" t="s">
        <v>921</v>
      </c>
      <c r="H138" s="92"/>
      <c r="I138" s="158" t="s">
        <v>874</v>
      </c>
      <c r="J138" s="157"/>
    </row>
    <row r="139" spans="1:10" ht="15.6" x14ac:dyDescent="0.3">
      <c r="A139" s="152" t="s">
        <v>922</v>
      </c>
      <c r="B139" s="152"/>
      <c r="C139" s="153" t="s">
        <v>86</v>
      </c>
      <c r="D139" s="153" t="s">
        <v>860</v>
      </c>
      <c r="E139" s="153" t="s">
        <v>860</v>
      </c>
      <c r="F139" s="154">
        <v>114.8</v>
      </c>
      <c r="G139" s="153" t="s">
        <v>284</v>
      </c>
      <c r="H139" s="92"/>
      <c r="I139" s="158" t="s">
        <v>874</v>
      </c>
      <c r="J139" s="157"/>
    </row>
    <row r="140" spans="1:10" ht="15.6" x14ac:dyDescent="0.3">
      <c r="A140" s="152" t="s">
        <v>923</v>
      </c>
      <c r="B140" s="152"/>
      <c r="C140" s="153" t="s">
        <v>86</v>
      </c>
      <c r="D140" s="153" t="s">
        <v>860</v>
      </c>
      <c r="E140" s="153" t="s">
        <v>860</v>
      </c>
      <c r="F140" s="154">
        <v>69.400000000000006</v>
      </c>
      <c r="G140" s="161" t="s">
        <v>284</v>
      </c>
      <c r="H140" s="92"/>
      <c r="I140" s="158" t="s">
        <v>874</v>
      </c>
      <c r="J140" s="157"/>
    </row>
    <row r="141" spans="1:10" ht="15.6" x14ac:dyDescent="0.3">
      <c r="A141" s="47" t="s">
        <v>924</v>
      </c>
      <c r="B141" s="47"/>
      <c r="C141" s="153" t="s">
        <v>86</v>
      </c>
      <c r="D141" s="153" t="s">
        <v>860</v>
      </c>
      <c r="E141" s="153" t="s">
        <v>860</v>
      </c>
      <c r="F141" s="48">
        <v>24.3</v>
      </c>
      <c r="G141" s="49" t="s">
        <v>284</v>
      </c>
      <c r="H141" s="92"/>
      <c r="I141" s="158" t="s">
        <v>874</v>
      </c>
      <c r="J141" s="157"/>
    </row>
    <row r="142" spans="1:10" ht="16.2" thickBot="1" x14ac:dyDescent="0.35">
      <c r="A142" s="169" t="s">
        <v>925</v>
      </c>
      <c r="B142" s="169"/>
      <c r="C142" s="161" t="s">
        <v>86</v>
      </c>
      <c r="D142" s="161" t="s">
        <v>860</v>
      </c>
      <c r="E142" s="161" t="s">
        <v>860</v>
      </c>
      <c r="F142" s="170">
        <v>64</v>
      </c>
      <c r="G142" s="171" t="s">
        <v>284</v>
      </c>
      <c r="H142" s="172"/>
      <c r="I142" s="158" t="s">
        <v>874</v>
      </c>
      <c r="J142" s="157"/>
    </row>
    <row r="143" spans="1:10" ht="15.6" thickTop="1" thickBot="1" x14ac:dyDescent="0.35">
      <c r="A143" s="50" t="s">
        <v>57</v>
      </c>
      <c r="B143" s="51"/>
      <c r="C143" s="52"/>
      <c r="D143" s="52"/>
      <c r="E143" s="52"/>
      <c r="F143" s="53">
        <f>SUM(F72:F142)</f>
        <v>1559.3000000000004</v>
      </c>
      <c r="G143" s="173"/>
      <c r="H143" s="173"/>
      <c r="I143" s="174"/>
      <c r="J143" s="157"/>
    </row>
    <row r="144" spans="1:10" ht="15" thickBot="1" x14ac:dyDescent="0.35">
      <c r="A144" s="175"/>
      <c r="B144" s="175"/>
      <c r="C144" s="163"/>
      <c r="D144" s="163"/>
      <c r="E144" s="163"/>
      <c r="F144" s="164"/>
      <c r="G144" s="157"/>
      <c r="H144" s="157"/>
      <c r="I144" s="165"/>
      <c r="J144" s="157"/>
    </row>
    <row r="145" spans="1:13" ht="17.399999999999999" x14ac:dyDescent="0.3">
      <c r="A145" s="34" t="s">
        <v>926</v>
      </c>
      <c r="B145" s="35"/>
      <c r="C145" s="35"/>
      <c r="D145" s="35"/>
      <c r="E145" s="35"/>
      <c r="F145" s="36"/>
      <c r="G145" s="35"/>
      <c r="H145" s="35"/>
      <c r="I145" s="37"/>
      <c r="J145" s="157"/>
    </row>
    <row r="146" spans="1:13" ht="31.8" thickBot="1" x14ac:dyDescent="0.35">
      <c r="A146" s="45" t="s">
        <v>70</v>
      </c>
      <c r="B146" s="6" t="s">
        <v>70</v>
      </c>
      <c r="C146" s="6" t="s">
        <v>72</v>
      </c>
      <c r="D146" s="149" t="s">
        <v>864</v>
      </c>
      <c r="E146" s="149" t="s">
        <v>865</v>
      </c>
      <c r="F146" s="46" t="s">
        <v>73</v>
      </c>
      <c r="G146" s="6" t="s">
        <v>866</v>
      </c>
      <c r="H146" s="6" t="s">
        <v>867</v>
      </c>
      <c r="I146" s="7" t="s">
        <v>868</v>
      </c>
      <c r="J146" s="157"/>
    </row>
    <row r="147" spans="1:13" x14ac:dyDescent="0.3">
      <c r="A147" s="166">
        <v>200</v>
      </c>
      <c r="B147" s="166">
        <v>200</v>
      </c>
      <c r="C147" s="155" t="s">
        <v>181</v>
      </c>
      <c r="D147" s="153" t="s">
        <v>870</v>
      </c>
      <c r="E147" s="153" t="s">
        <v>870</v>
      </c>
      <c r="F147" s="167">
        <v>33.700000000000003</v>
      </c>
      <c r="G147" s="155" t="s">
        <v>145</v>
      </c>
      <c r="H147" s="168"/>
      <c r="I147" s="156" t="s">
        <v>871</v>
      </c>
      <c r="J147" s="157"/>
      <c r="L147" s="89" t="s">
        <v>68</v>
      </c>
      <c r="M147" t="s">
        <v>69</v>
      </c>
    </row>
    <row r="148" spans="1:13" x14ac:dyDescent="0.3">
      <c r="A148" s="152">
        <v>201</v>
      </c>
      <c r="B148" s="152">
        <v>201</v>
      </c>
      <c r="C148" s="153" t="s">
        <v>181</v>
      </c>
      <c r="D148" s="153" t="s">
        <v>870</v>
      </c>
      <c r="E148" s="153" t="s">
        <v>870</v>
      </c>
      <c r="F148" s="154">
        <v>20.5</v>
      </c>
      <c r="G148" s="153" t="s">
        <v>298</v>
      </c>
      <c r="H148" s="92"/>
      <c r="I148" s="156" t="s">
        <v>871</v>
      </c>
      <c r="J148" s="157"/>
      <c r="L148" s="90" t="s">
        <v>875</v>
      </c>
    </row>
    <row r="149" spans="1:13" x14ac:dyDescent="0.3">
      <c r="A149" s="152">
        <v>202</v>
      </c>
      <c r="B149" s="152">
        <v>202</v>
      </c>
      <c r="C149" s="153" t="s">
        <v>181</v>
      </c>
      <c r="D149" s="153" t="s">
        <v>870</v>
      </c>
      <c r="E149" s="153" t="s">
        <v>870</v>
      </c>
      <c r="F149" s="154">
        <v>12.3</v>
      </c>
      <c r="G149" s="153" t="s">
        <v>145</v>
      </c>
      <c r="H149" s="92"/>
      <c r="I149" s="156" t="s">
        <v>871</v>
      </c>
      <c r="J149" s="157"/>
      <c r="L149" s="99" t="s">
        <v>860</v>
      </c>
      <c r="M149">
        <v>0.8</v>
      </c>
    </row>
    <row r="150" spans="1:13" ht="15.6" x14ac:dyDescent="0.3">
      <c r="A150" s="152" t="s">
        <v>927</v>
      </c>
      <c r="B150" s="152" t="s">
        <v>927</v>
      </c>
      <c r="C150" s="153" t="s">
        <v>183</v>
      </c>
      <c r="D150" s="153" t="s">
        <v>861</v>
      </c>
      <c r="E150" s="153" t="s">
        <v>861</v>
      </c>
      <c r="F150" s="154">
        <v>13.96</v>
      </c>
      <c r="G150" s="153" t="s">
        <v>145</v>
      </c>
      <c r="H150" s="92"/>
      <c r="I150" s="158" t="s">
        <v>874</v>
      </c>
      <c r="J150" s="157"/>
      <c r="L150" s="90" t="s">
        <v>871</v>
      </c>
    </row>
    <row r="151" spans="1:13" x14ac:dyDescent="0.3">
      <c r="A151" s="152" t="s">
        <v>928</v>
      </c>
      <c r="B151" s="152"/>
      <c r="C151" s="153" t="s">
        <v>313</v>
      </c>
      <c r="D151" s="153" t="s">
        <v>861</v>
      </c>
      <c r="E151" s="153" t="s">
        <v>861</v>
      </c>
      <c r="F151" s="154">
        <v>4.6399999999999997</v>
      </c>
      <c r="G151" s="153" t="s">
        <v>145</v>
      </c>
      <c r="H151" s="92"/>
      <c r="I151" s="156" t="s">
        <v>871</v>
      </c>
      <c r="J151" s="157"/>
      <c r="L151" s="99" t="s">
        <v>870</v>
      </c>
      <c r="M151">
        <v>438.5</v>
      </c>
    </row>
    <row r="152" spans="1:13" x14ac:dyDescent="0.3">
      <c r="A152" s="152">
        <v>203</v>
      </c>
      <c r="B152" s="152">
        <v>203</v>
      </c>
      <c r="C152" s="153" t="s">
        <v>181</v>
      </c>
      <c r="D152" s="153" t="s">
        <v>870</v>
      </c>
      <c r="E152" s="153" t="s">
        <v>870</v>
      </c>
      <c r="F152" s="154">
        <v>10.1</v>
      </c>
      <c r="G152" s="153" t="s">
        <v>379</v>
      </c>
      <c r="H152" s="92"/>
      <c r="I152" s="156" t="s">
        <v>871</v>
      </c>
      <c r="J152" s="157"/>
      <c r="L152" s="99" t="s">
        <v>861</v>
      </c>
      <c r="M152">
        <v>4.6399999999999997</v>
      </c>
    </row>
    <row r="153" spans="1:13" ht="15.6" x14ac:dyDescent="0.3">
      <c r="A153" s="152">
        <v>204</v>
      </c>
      <c r="B153" s="152">
        <v>204</v>
      </c>
      <c r="C153" s="153" t="s">
        <v>183</v>
      </c>
      <c r="D153" s="153" t="s">
        <v>861</v>
      </c>
      <c r="E153" s="153" t="s">
        <v>861</v>
      </c>
      <c r="F153" s="154">
        <v>31.7</v>
      </c>
      <c r="G153" s="153" t="s">
        <v>145</v>
      </c>
      <c r="H153" s="92"/>
      <c r="I153" s="158" t="s">
        <v>874</v>
      </c>
      <c r="J153" s="157"/>
      <c r="L153" s="90" t="s">
        <v>874</v>
      </c>
    </row>
    <row r="154" spans="1:13" x14ac:dyDescent="0.3">
      <c r="A154" s="152">
        <v>205</v>
      </c>
      <c r="B154" s="152">
        <v>205</v>
      </c>
      <c r="C154" s="153" t="s">
        <v>181</v>
      </c>
      <c r="D154" s="153" t="s">
        <v>870</v>
      </c>
      <c r="E154" s="153" t="s">
        <v>870</v>
      </c>
      <c r="F154" s="154">
        <v>10.199999999999999</v>
      </c>
      <c r="G154" s="153" t="s">
        <v>298</v>
      </c>
      <c r="H154" s="92"/>
      <c r="I154" s="156" t="s">
        <v>871</v>
      </c>
      <c r="J154" s="157"/>
      <c r="L154" s="99" t="s">
        <v>859</v>
      </c>
      <c r="M154">
        <v>47.9</v>
      </c>
    </row>
    <row r="155" spans="1:13" ht="15.6" x14ac:dyDescent="0.3">
      <c r="A155" s="152">
        <v>206</v>
      </c>
      <c r="B155" s="152">
        <v>206</v>
      </c>
      <c r="C155" s="153" t="s">
        <v>183</v>
      </c>
      <c r="D155" s="153" t="s">
        <v>861</v>
      </c>
      <c r="E155" s="153" t="s">
        <v>861</v>
      </c>
      <c r="F155" s="154">
        <v>31.6</v>
      </c>
      <c r="G155" s="153" t="s">
        <v>145</v>
      </c>
      <c r="H155" s="92"/>
      <c r="I155" s="158" t="s">
        <v>874</v>
      </c>
      <c r="J155" s="157"/>
      <c r="L155" s="99" t="s">
        <v>860</v>
      </c>
      <c r="M155">
        <v>452.40000000000003</v>
      </c>
    </row>
    <row r="156" spans="1:13" x14ac:dyDescent="0.3">
      <c r="A156" s="152">
        <v>207</v>
      </c>
      <c r="B156" s="152">
        <v>207</v>
      </c>
      <c r="C156" s="153" t="s">
        <v>181</v>
      </c>
      <c r="D156" s="153" t="s">
        <v>870</v>
      </c>
      <c r="E156" s="153" t="s">
        <v>870</v>
      </c>
      <c r="F156" s="154">
        <v>20.7</v>
      </c>
      <c r="G156" s="153" t="s">
        <v>298</v>
      </c>
      <c r="H156" s="92"/>
      <c r="I156" s="156" t="s">
        <v>871</v>
      </c>
      <c r="J156" s="157"/>
      <c r="L156" s="99" t="s">
        <v>870</v>
      </c>
      <c r="M156">
        <v>10.199999999999999</v>
      </c>
    </row>
    <row r="157" spans="1:13" ht="15.6" x14ac:dyDescent="0.3">
      <c r="A157" s="152">
        <v>208</v>
      </c>
      <c r="B157" s="152">
        <v>208</v>
      </c>
      <c r="C157" s="153" t="s">
        <v>191</v>
      </c>
      <c r="D157" s="153" t="s">
        <v>881</v>
      </c>
      <c r="E157" s="153" t="s">
        <v>881</v>
      </c>
      <c r="F157" s="154">
        <v>53.4</v>
      </c>
      <c r="G157" s="153" t="s">
        <v>145</v>
      </c>
      <c r="H157" s="92"/>
      <c r="I157" s="158" t="s">
        <v>874</v>
      </c>
      <c r="J157" s="157"/>
      <c r="L157" s="99" t="s">
        <v>861</v>
      </c>
      <c r="M157">
        <v>412.65999999999997</v>
      </c>
    </row>
    <row r="158" spans="1:13" ht="15.6" x14ac:dyDescent="0.3">
      <c r="A158" s="152" t="s">
        <v>929</v>
      </c>
      <c r="B158" s="152"/>
      <c r="C158" s="153" t="s">
        <v>183</v>
      </c>
      <c r="D158" s="153" t="s">
        <v>861</v>
      </c>
      <c r="E158" s="153" t="s">
        <v>861</v>
      </c>
      <c r="F158" s="154">
        <v>12.7</v>
      </c>
      <c r="G158" s="153" t="s">
        <v>145</v>
      </c>
      <c r="H158" s="92"/>
      <c r="I158" s="158" t="s">
        <v>874</v>
      </c>
      <c r="J158" s="157"/>
      <c r="L158" s="99" t="s">
        <v>881</v>
      </c>
      <c r="M158">
        <v>200.3</v>
      </c>
    </row>
    <row r="159" spans="1:13" ht="15.6" x14ac:dyDescent="0.3">
      <c r="A159" s="152">
        <v>209</v>
      </c>
      <c r="B159" s="152">
        <v>209</v>
      </c>
      <c r="C159" s="153" t="s">
        <v>181</v>
      </c>
      <c r="D159" s="153" t="s">
        <v>870</v>
      </c>
      <c r="E159" s="153" t="s">
        <v>870</v>
      </c>
      <c r="F159" s="154">
        <v>10.199999999999999</v>
      </c>
      <c r="G159" s="153" t="s">
        <v>298</v>
      </c>
      <c r="H159" s="92"/>
      <c r="I159" s="158" t="s">
        <v>874</v>
      </c>
      <c r="J159" s="157"/>
      <c r="L159" s="99" t="s">
        <v>862</v>
      </c>
      <c r="M159">
        <v>4.05</v>
      </c>
    </row>
    <row r="160" spans="1:13" x14ac:dyDescent="0.3">
      <c r="A160" s="152">
        <v>210</v>
      </c>
      <c r="B160" s="152">
        <v>210</v>
      </c>
      <c r="C160" s="153" t="s">
        <v>181</v>
      </c>
      <c r="D160" s="153" t="s">
        <v>870</v>
      </c>
      <c r="E160" s="153" t="s">
        <v>870</v>
      </c>
      <c r="F160" s="154">
        <v>16.399999999999999</v>
      </c>
      <c r="G160" s="153" t="s">
        <v>298</v>
      </c>
      <c r="H160" s="92"/>
      <c r="I160" s="156" t="s">
        <v>871</v>
      </c>
      <c r="J160" s="157"/>
      <c r="L160" s="90" t="s">
        <v>122</v>
      </c>
      <c r="M160">
        <v>1571.4499999999998</v>
      </c>
    </row>
    <row r="161" spans="1:10" x14ac:dyDescent="0.3">
      <c r="A161" s="152">
        <v>211</v>
      </c>
      <c r="B161" s="152">
        <v>211</v>
      </c>
      <c r="C161" s="153" t="s">
        <v>181</v>
      </c>
      <c r="D161" s="153" t="s">
        <v>870</v>
      </c>
      <c r="E161" s="153" t="s">
        <v>870</v>
      </c>
      <c r="F161" s="154">
        <v>10.199999999999999</v>
      </c>
      <c r="G161" s="153" t="s">
        <v>930</v>
      </c>
      <c r="H161" s="92"/>
      <c r="I161" s="156" t="s">
        <v>871</v>
      </c>
      <c r="J161" s="157"/>
    </row>
    <row r="162" spans="1:10" x14ac:dyDescent="0.3">
      <c r="A162" s="152">
        <v>212</v>
      </c>
      <c r="B162" s="152">
        <v>212</v>
      </c>
      <c r="C162" s="153" t="s">
        <v>181</v>
      </c>
      <c r="D162" s="153" t="s">
        <v>870</v>
      </c>
      <c r="E162" s="153" t="s">
        <v>870</v>
      </c>
      <c r="F162" s="154">
        <v>16.3</v>
      </c>
      <c r="G162" s="153" t="s">
        <v>145</v>
      </c>
      <c r="H162" s="92"/>
      <c r="I162" s="156" t="s">
        <v>871</v>
      </c>
      <c r="J162" s="157"/>
    </row>
    <row r="163" spans="1:10" x14ac:dyDescent="0.3">
      <c r="A163" s="152">
        <v>213</v>
      </c>
      <c r="B163" s="152">
        <v>213</v>
      </c>
      <c r="C163" s="153" t="s">
        <v>181</v>
      </c>
      <c r="D163" s="153" t="s">
        <v>870</v>
      </c>
      <c r="E163" s="153" t="s">
        <v>870</v>
      </c>
      <c r="F163" s="154">
        <v>10.7</v>
      </c>
      <c r="G163" s="153" t="s">
        <v>298</v>
      </c>
      <c r="H163" s="92"/>
      <c r="I163" s="156" t="s">
        <v>871</v>
      </c>
      <c r="J163" s="157"/>
    </row>
    <row r="164" spans="1:10" x14ac:dyDescent="0.3">
      <c r="A164" s="152">
        <v>214</v>
      </c>
      <c r="B164" s="152">
        <v>214</v>
      </c>
      <c r="C164" s="153" t="s">
        <v>181</v>
      </c>
      <c r="D164" s="153" t="s">
        <v>870</v>
      </c>
      <c r="E164" s="153" t="s">
        <v>870</v>
      </c>
      <c r="F164" s="154">
        <v>16.3</v>
      </c>
      <c r="G164" s="153" t="s">
        <v>145</v>
      </c>
      <c r="H164" s="92"/>
      <c r="I164" s="156" t="s">
        <v>871</v>
      </c>
      <c r="J164" s="157"/>
    </row>
    <row r="165" spans="1:10" x14ac:dyDescent="0.3">
      <c r="A165" s="152">
        <v>215</v>
      </c>
      <c r="B165" s="152">
        <v>215</v>
      </c>
      <c r="C165" s="153" t="s">
        <v>181</v>
      </c>
      <c r="D165" s="153" t="s">
        <v>870</v>
      </c>
      <c r="E165" s="153" t="s">
        <v>870</v>
      </c>
      <c r="F165" s="154">
        <v>11.1</v>
      </c>
      <c r="G165" s="153" t="s">
        <v>298</v>
      </c>
      <c r="H165" s="92"/>
      <c r="I165" s="156" t="s">
        <v>871</v>
      </c>
      <c r="J165" s="157"/>
    </row>
    <row r="166" spans="1:10" x14ac:dyDescent="0.3">
      <c r="A166" s="152">
        <v>216</v>
      </c>
      <c r="B166" s="152">
        <v>216</v>
      </c>
      <c r="C166" s="153" t="s">
        <v>181</v>
      </c>
      <c r="D166" s="153" t="s">
        <v>870</v>
      </c>
      <c r="E166" s="153" t="s">
        <v>870</v>
      </c>
      <c r="F166" s="154">
        <v>16.3</v>
      </c>
      <c r="G166" s="153" t="s">
        <v>145</v>
      </c>
      <c r="H166" s="92"/>
      <c r="I166" s="156" t="s">
        <v>871</v>
      </c>
      <c r="J166" s="157"/>
    </row>
    <row r="167" spans="1:10" x14ac:dyDescent="0.3">
      <c r="A167" s="152" t="s">
        <v>931</v>
      </c>
      <c r="B167" s="152" t="s">
        <v>931</v>
      </c>
      <c r="C167" s="153" t="s">
        <v>181</v>
      </c>
      <c r="D167" s="153" t="s">
        <v>870</v>
      </c>
      <c r="E167" s="153" t="s">
        <v>870</v>
      </c>
      <c r="F167" s="154">
        <v>17.36</v>
      </c>
      <c r="G167" s="153" t="s">
        <v>145</v>
      </c>
      <c r="H167" s="92"/>
      <c r="I167" s="156" t="s">
        <v>871</v>
      </c>
      <c r="J167" s="157"/>
    </row>
    <row r="168" spans="1:10" ht="15.6" x14ac:dyDescent="0.3">
      <c r="A168" s="152">
        <v>217</v>
      </c>
      <c r="B168" s="152">
        <v>217</v>
      </c>
      <c r="C168" s="153" t="s">
        <v>183</v>
      </c>
      <c r="D168" s="153" t="s">
        <v>861</v>
      </c>
      <c r="E168" s="153" t="s">
        <v>861</v>
      </c>
      <c r="F168" s="154">
        <v>11</v>
      </c>
      <c r="G168" s="153" t="s">
        <v>145</v>
      </c>
      <c r="H168" s="92"/>
      <c r="I168" s="158" t="s">
        <v>874</v>
      </c>
      <c r="J168" s="157"/>
    </row>
    <row r="169" spans="1:10" x14ac:dyDescent="0.3">
      <c r="A169" s="152">
        <v>218</v>
      </c>
      <c r="B169" s="152">
        <v>218</v>
      </c>
      <c r="C169" s="153" t="s">
        <v>181</v>
      </c>
      <c r="D169" s="153" t="s">
        <v>870</v>
      </c>
      <c r="E169" s="153" t="s">
        <v>870</v>
      </c>
      <c r="F169" s="154">
        <v>47.84</v>
      </c>
      <c r="G169" s="153" t="s">
        <v>145</v>
      </c>
      <c r="H169" s="92"/>
      <c r="I169" s="156" t="s">
        <v>871</v>
      </c>
      <c r="J169" s="157"/>
    </row>
    <row r="170" spans="1:10" x14ac:dyDescent="0.3">
      <c r="A170" s="152" t="s">
        <v>932</v>
      </c>
      <c r="B170" s="152" t="s">
        <v>932</v>
      </c>
      <c r="C170" s="153" t="s">
        <v>917</v>
      </c>
      <c r="D170" s="153" t="s">
        <v>860</v>
      </c>
      <c r="E170" s="153" t="s">
        <v>860</v>
      </c>
      <c r="F170" s="154">
        <v>0.8</v>
      </c>
      <c r="G170" s="153" t="s">
        <v>145</v>
      </c>
      <c r="H170" s="92"/>
      <c r="I170" s="160" t="s">
        <v>875</v>
      </c>
      <c r="J170" s="157" t="s">
        <v>890</v>
      </c>
    </row>
    <row r="171" spans="1:10" x14ac:dyDescent="0.3">
      <c r="A171" s="152">
        <v>219</v>
      </c>
      <c r="B171" s="152">
        <v>219</v>
      </c>
      <c r="C171" s="153" t="s">
        <v>181</v>
      </c>
      <c r="D171" s="153" t="s">
        <v>870</v>
      </c>
      <c r="E171" s="153" t="s">
        <v>870</v>
      </c>
      <c r="F171" s="154">
        <v>11.2</v>
      </c>
      <c r="G171" s="153" t="s">
        <v>933</v>
      </c>
      <c r="H171" s="92"/>
      <c r="I171" s="156" t="s">
        <v>871</v>
      </c>
      <c r="J171" s="157"/>
    </row>
    <row r="172" spans="1:10" ht="15.6" x14ac:dyDescent="0.3">
      <c r="A172" s="152">
        <v>220</v>
      </c>
      <c r="B172" s="152">
        <v>220</v>
      </c>
      <c r="C172" s="153" t="s">
        <v>183</v>
      </c>
      <c r="D172" s="153" t="s">
        <v>861</v>
      </c>
      <c r="E172" s="153" t="s">
        <v>861</v>
      </c>
      <c r="F172" s="154">
        <v>71</v>
      </c>
      <c r="G172" s="153" t="s">
        <v>145</v>
      </c>
      <c r="H172" s="92"/>
      <c r="I172" s="158" t="s">
        <v>874</v>
      </c>
      <c r="J172" s="157"/>
    </row>
    <row r="173" spans="1:10" ht="15.6" x14ac:dyDescent="0.3">
      <c r="A173" s="152">
        <v>221</v>
      </c>
      <c r="B173" s="152">
        <v>221</v>
      </c>
      <c r="C173" s="153" t="s">
        <v>183</v>
      </c>
      <c r="D173" s="153" t="s">
        <v>861</v>
      </c>
      <c r="E173" s="153" t="s">
        <v>861</v>
      </c>
      <c r="F173" s="154">
        <v>10.5</v>
      </c>
      <c r="G173" s="153" t="s">
        <v>145</v>
      </c>
      <c r="H173" s="92"/>
      <c r="I173" s="158" t="s">
        <v>874</v>
      </c>
      <c r="J173" s="157"/>
    </row>
    <row r="174" spans="1:10" ht="15.6" x14ac:dyDescent="0.3">
      <c r="A174" s="152">
        <v>222</v>
      </c>
      <c r="B174" s="152">
        <v>222</v>
      </c>
      <c r="C174" s="153" t="s">
        <v>183</v>
      </c>
      <c r="D174" s="153" t="s">
        <v>861</v>
      </c>
      <c r="E174" s="153" t="s">
        <v>861</v>
      </c>
      <c r="F174" s="154">
        <v>16.600000000000001</v>
      </c>
      <c r="G174" s="153" t="s">
        <v>145</v>
      </c>
      <c r="H174" s="92"/>
      <c r="I174" s="158" t="s">
        <v>874</v>
      </c>
      <c r="J174" s="157"/>
    </row>
    <row r="175" spans="1:10" x14ac:dyDescent="0.3">
      <c r="A175" s="152">
        <v>223</v>
      </c>
      <c r="B175" s="152">
        <v>223</v>
      </c>
      <c r="C175" s="153" t="s">
        <v>181</v>
      </c>
      <c r="D175" s="153" t="s">
        <v>870</v>
      </c>
      <c r="E175" s="153" t="s">
        <v>870</v>
      </c>
      <c r="F175" s="154">
        <v>11.6</v>
      </c>
      <c r="G175" s="153" t="s">
        <v>145</v>
      </c>
      <c r="H175" s="92"/>
      <c r="I175" s="156" t="s">
        <v>871</v>
      </c>
      <c r="J175" s="157"/>
    </row>
    <row r="176" spans="1:10" x14ac:dyDescent="0.3">
      <c r="A176" s="152">
        <v>224</v>
      </c>
      <c r="B176" s="152">
        <v>224</v>
      </c>
      <c r="C176" s="153" t="s">
        <v>181</v>
      </c>
      <c r="D176" s="153" t="s">
        <v>870</v>
      </c>
      <c r="E176" s="153" t="s">
        <v>870</v>
      </c>
      <c r="F176" s="154">
        <v>16.399999999999999</v>
      </c>
      <c r="G176" s="153" t="s">
        <v>145</v>
      </c>
      <c r="H176" s="92"/>
      <c r="I176" s="156" t="s">
        <v>871</v>
      </c>
      <c r="J176" s="157"/>
    </row>
    <row r="177" spans="1:10" x14ac:dyDescent="0.3">
      <c r="A177" s="152">
        <v>225</v>
      </c>
      <c r="B177" s="152">
        <v>225</v>
      </c>
      <c r="C177" s="153" t="s">
        <v>181</v>
      </c>
      <c r="D177" s="153" t="s">
        <v>870</v>
      </c>
      <c r="E177" s="153" t="s">
        <v>870</v>
      </c>
      <c r="F177" s="154">
        <v>11.4</v>
      </c>
      <c r="G177" s="153" t="s">
        <v>145</v>
      </c>
      <c r="H177" s="92"/>
      <c r="I177" s="156" t="s">
        <v>871</v>
      </c>
      <c r="J177" s="157"/>
    </row>
    <row r="178" spans="1:10" ht="15.6" x14ac:dyDescent="0.3">
      <c r="A178" s="152" t="s">
        <v>934</v>
      </c>
      <c r="B178" s="152" t="s">
        <v>934</v>
      </c>
      <c r="C178" s="153" t="s">
        <v>183</v>
      </c>
      <c r="D178" s="153" t="s">
        <v>861</v>
      </c>
      <c r="E178" s="153" t="s">
        <v>861</v>
      </c>
      <c r="F178" s="154">
        <v>10.199999999999999</v>
      </c>
      <c r="G178" s="153" t="s">
        <v>145</v>
      </c>
      <c r="H178" s="92"/>
      <c r="I178" s="158" t="s">
        <v>874</v>
      </c>
      <c r="J178" s="157"/>
    </row>
    <row r="179" spans="1:10" ht="15.6" x14ac:dyDescent="0.3">
      <c r="A179" s="152">
        <v>226</v>
      </c>
      <c r="B179" s="152">
        <v>226</v>
      </c>
      <c r="C179" s="153" t="s">
        <v>935</v>
      </c>
      <c r="D179" s="153" t="s">
        <v>881</v>
      </c>
      <c r="E179" s="153" t="s">
        <v>881</v>
      </c>
      <c r="F179" s="154">
        <v>65.599999999999994</v>
      </c>
      <c r="G179" s="153" t="s">
        <v>145</v>
      </c>
      <c r="H179" s="92"/>
      <c r="I179" s="158" t="s">
        <v>874</v>
      </c>
      <c r="J179" s="157"/>
    </row>
    <row r="180" spans="1:10" ht="15.6" x14ac:dyDescent="0.3">
      <c r="A180" s="152">
        <v>227</v>
      </c>
      <c r="B180" s="152">
        <v>227</v>
      </c>
      <c r="C180" s="153" t="s">
        <v>183</v>
      </c>
      <c r="D180" s="153" t="s">
        <v>861</v>
      </c>
      <c r="E180" s="153" t="s">
        <v>861</v>
      </c>
      <c r="F180" s="154">
        <v>21.6</v>
      </c>
      <c r="G180" s="153" t="s">
        <v>145</v>
      </c>
      <c r="H180" s="92"/>
      <c r="I180" s="158" t="s">
        <v>874</v>
      </c>
      <c r="J180" s="157"/>
    </row>
    <row r="181" spans="1:10" ht="15.6" x14ac:dyDescent="0.3">
      <c r="A181" s="152">
        <v>228</v>
      </c>
      <c r="B181" s="152">
        <v>228</v>
      </c>
      <c r="C181" s="153" t="s">
        <v>183</v>
      </c>
      <c r="D181" s="153" t="s">
        <v>861</v>
      </c>
      <c r="E181" s="153" t="s">
        <v>861</v>
      </c>
      <c r="F181" s="154">
        <v>17.600000000000001</v>
      </c>
      <c r="G181" s="153" t="s">
        <v>145</v>
      </c>
      <c r="H181" s="92"/>
      <c r="I181" s="158" t="s">
        <v>874</v>
      </c>
      <c r="J181" s="157"/>
    </row>
    <row r="182" spans="1:10" ht="15.6" x14ac:dyDescent="0.3">
      <c r="A182" s="152" t="s">
        <v>936</v>
      </c>
      <c r="B182" s="152" t="s">
        <v>936</v>
      </c>
      <c r="C182" s="153" t="s">
        <v>937</v>
      </c>
      <c r="D182" s="153" t="s">
        <v>861</v>
      </c>
      <c r="E182" s="153" t="s">
        <v>861</v>
      </c>
      <c r="F182" s="154">
        <v>6</v>
      </c>
      <c r="G182" s="153" t="s">
        <v>145</v>
      </c>
      <c r="H182" s="92"/>
      <c r="I182" s="158" t="s">
        <v>874</v>
      </c>
      <c r="J182" s="157"/>
    </row>
    <row r="183" spans="1:10" ht="15.6" x14ac:dyDescent="0.3">
      <c r="A183" s="152" t="s">
        <v>938</v>
      </c>
      <c r="B183" s="152" t="s">
        <v>938</v>
      </c>
      <c r="C183" s="153" t="s">
        <v>183</v>
      </c>
      <c r="D183" s="153" t="s">
        <v>861</v>
      </c>
      <c r="E183" s="153" t="s">
        <v>861</v>
      </c>
      <c r="F183" s="154">
        <v>4.4000000000000004</v>
      </c>
      <c r="G183" s="153" t="s">
        <v>145</v>
      </c>
      <c r="H183" s="92"/>
      <c r="I183" s="158" t="s">
        <v>874</v>
      </c>
      <c r="J183" s="157"/>
    </row>
    <row r="184" spans="1:10" ht="15.6" x14ac:dyDescent="0.3">
      <c r="A184" s="152" t="s">
        <v>939</v>
      </c>
      <c r="B184" s="152" t="s">
        <v>939</v>
      </c>
      <c r="C184" s="153" t="s">
        <v>183</v>
      </c>
      <c r="D184" s="153" t="s">
        <v>861</v>
      </c>
      <c r="E184" s="153" t="s">
        <v>861</v>
      </c>
      <c r="F184" s="154">
        <v>4.5</v>
      </c>
      <c r="G184" s="153" t="s">
        <v>145</v>
      </c>
      <c r="H184" s="92"/>
      <c r="I184" s="158" t="s">
        <v>874</v>
      </c>
      <c r="J184" s="157"/>
    </row>
    <row r="185" spans="1:10" x14ac:dyDescent="0.3">
      <c r="A185" s="152">
        <v>229</v>
      </c>
      <c r="B185" s="152">
        <v>229</v>
      </c>
      <c r="C185" s="153" t="s">
        <v>181</v>
      </c>
      <c r="D185" s="153" t="s">
        <v>870</v>
      </c>
      <c r="E185" s="153" t="s">
        <v>870</v>
      </c>
      <c r="F185" s="154">
        <v>11.1</v>
      </c>
      <c r="G185" s="153" t="s">
        <v>298</v>
      </c>
      <c r="H185" s="92"/>
      <c r="I185" s="156" t="s">
        <v>871</v>
      </c>
      <c r="J185" s="157"/>
    </row>
    <row r="186" spans="1:10" ht="15.6" x14ac:dyDescent="0.3">
      <c r="A186" s="152">
        <v>230</v>
      </c>
      <c r="B186" s="152">
        <v>230</v>
      </c>
      <c r="C186" s="153" t="s">
        <v>183</v>
      </c>
      <c r="D186" s="153" t="s">
        <v>861</v>
      </c>
      <c r="E186" s="153" t="s">
        <v>861</v>
      </c>
      <c r="F186" s="154">
        <v>33.9</v>
      </c>
      <c r="G186" s="153" t="s">
        <v>145</v>
      </c>
      <c r="H186" s="92"/>
      <c r="I186" s="158" t="s">
        <v>874</v>
      </c>
      <c r="J186" s="157"/>
    </row>
    <row r="187" spans="1:10" ht="15.6" x14ac:dyDescent="0.3">
      <c r="A187" s="152">
        <v>231</v>
      </c>
      <c r="B187" s="152">
        <v>231</v>
      </c>
      <c r="C187" s="153" t="s">
        <v>891</v>
      </c>
      <c r="D187" s="153" t="s">
        <v>861</v>
      </c>
      <c r="E187" s="153" t="s">
        <v>861</v>
      </c>
      <c r="F187" s="154">
        <v>11.1</v>
      </c>
      <c r="G187" s="153" t="s">
        <v>334</v>
      </c>
      <c r="H187" s="92"/>
      <c r="I187" s="158" t="s">
        <v>874</v>
      </c>
      <c r="J187" s="157"/>
    </row>
    <row r="188" spans="1:10" ht="15.6" x14ac:dyDescent="0.3">
      <c r="A188" s="152">
        <v>232</v>
      </c>
      <c r="B188" s="152">
        <v>232</v>
      </c>
      <c r="C188" s="153" t="s">
        <v>183</v>
      </c>
      <c r="D188" s="153" t="s">
        <v>861</v>
      </c>
      <c r="E188" s="153" t="s">
        <v>861</v>
      </c>
      <c r="F188" s="154">
        <v>30.8</v>
      </c>
      <c r="G188" s="153" t="s">
        <v>145</v>
      </c>
      <c r="H188" s="92"/>
      <c r="I188" s="158" t="s">
        <v>874</v>
      </c>
      <c r="J188" s="157"/>
    </row>
    <row r="189" spans="1:10" ht="15.6" x14ac:dyDescent="0.3">
      <c r="A189" s="152">
        <v>233</v>
      </c>
      <c r="B189" s="152">
        <v>233</v>
      </c>
      <c r="C189" s="153" t="s">
        <v>885</v>
      </c>
      <c r="D189" s="153" t="s">
        <v>881</v>
      </c>
      <c r="E189" s="153" t="s">
        <v>881</v>
      </c>
      <c r="F189" s="154">
        <v>34.299999999999997</v>
      </c>
      <c r="G189" s="153" t="s">
        <v>145</v>
      </c>
      <c r="H189" s="92"/>
      <c r="I189" s="158" t="s">
        <v>874</v>
      </c>
      <c r="J189" s="157"/>
    </row>
    <row r="190" spans="1:10" ht="15.6" x14ac:dyDescent="0.3">
      <c r="A190" s="152">
        <v>234</v>
      </c>
      <c r="B190" s="152">
        <v>234</v>
      </c>
      <c r="C190" s="153" t="s">
        <v>183</v>
      </c>
      <c r="D190" s="153" t="s">
        <v>861</v>
      </c>
      <c r="E190" s="153" t="s">
        <v>861</v>
      </c>
      <c r="F190" s="154">
        <v>14.8</v>
      </c>
      <c r="G190" s="153" t="s">
        <v>145</v>
      </c>
      <c r="H190" s="92"/>
      <c r="I190" s="158" t="s">
        <v>874</v>
      </c>
      <c r="J190" s="157"/>
    </row>
    <row r="191" spans="1:10" x14ac:dyDescent="0.3">
      <c r="A191" s="152">
        <v>235</v>
      </c>
      <c r="B191" s="152">
        <v>235</v>
      </c>
      <c r="C191" s="153" t="s">
        <v>181</v>
      </c>
      <c r="D191" s="153" t="s">
        <v>870</v>
      </c>
      <c r="E191" s="153" t="s">
        <v>870</v>
      </c>
      <c r="F191" s="154">
        <v>12.3</v>
      </c>
      <c r="G191" s="153" t="s">
        <v>145</v>
      </c>
      <c r="H191" s="92"/>
      <c r="I191" s="156" t="s">
        <v>871</v>
      </c>
      <c r="J191" s="157"/>
    </row>
    <row r="192" spans="1:10" ht="15.6" x14ac:dyDescent="0.3">
      <c r="A192" s="152">
        <v>236</v>
      </c>
      <c r="B192" s="152">
        <v>236</v>
      </c>
      <c r="C192" s="153" t="s">
        <v>183</v>
      </c>
      <c r="D192" s="153" t="s">
        <v>861</v>
      </c>
      <c r="E192" s="153" t="s">
        <v>861</v>
      </c>
      <c r="F192" s="154">
        <v>16.8</v>
      </c>
      <c r="G192" s="153" t="s">
        <v>145</v>
      </c>
      <c r="H192" s="92"/>
      <c r="I192" s="158" t="s">
        <v>874</v>
      </c>
      <c r="J192" s="157"/>
    </row>
    <row r="193" spans="1:10" ht="15.6" x14ac:dyDescent="0.3">
      <c r="A193" s="152">
        <v>237</v>
      </c>
      <c r="B193" s="152">
        <v>237</v>
      </c>
      <c r="C193" s="153" t="s">
        <v>940</v>
      </c>
      <c r="D193" s="153" t="s">
        <v>881</v>
      </c>
      <c r="E193" s="153" t="s">
        <v>881</v>
      </c>
      <c r="F193" s="154">
        <v>47</v>
      </c>
      <c r="G193" s="153" t="s">
        <v>145</v>
      </c>
      <c r="H193" s="92"/>
      <c r="I193" s="158" t="s">
        <v>874</v>
      </c>
      <c r="J193" s="157"/>
    </row>
    <row r="194" spans="1:10" ht="15.6" x14ac:dyDescent="0.3">
      <c r="A194" s="152">
        <v>238</v>
      </c>
      <c r="B194" s="152">
        <v>238</v>
      </c>
      <c r="C194" s="153" t="s">
        <v>183</v>
      </c>
      <c r="D194" s="153" t="s">
        <v>861</v>
      </c>
      <c r="E194" s="153" t="s">
        <v>861</v>
      </c>
      <c r="F194" s="154">
        <v>30.7</v>
      </c>
      <c r="G194" s="153" t="s">
        <v>145</v>
      </c>
      <c r="H194" s="92"/>
      <c r="I194" s="158" t="s">
        <v>874</v>
      </c>
      <c r="J194" s="157"/>
    </row>
    <row r="195" spans="1:10" x14ac:dyDescent="0.3">
      <c r="A195" s="152">
        <v>241</v>
      </c>
      <c r="B195" s="152">
        <v>241</v>
      </c>
      <c r="C195" s="153" t="s">
        <v>181</v>
      </c>
      <c r="D195" s="153" t="s">
        <v>870</v>
      </c>
      <c r="E195" s="153" t="s">
        <v>870</v>
      </c>
      <c r="F195" s="154">
        <v>21.7</v>
      </c>
      <c r="G195" s="153" t="s">
        <v>298</v>
      </c>
      <c r="H195" s="92"/>
      <c r="I195" s="156" t="s">
        <v>871</v>
      </c>
      <c r="J195" s="157"/>
    </row>
    <row r="196" spans="1:10" x14ac:dyDescent="0.3">
      <c r="A196" s="152">
        <v>243</v>
      </c>
      <c r="B196" s="152">
        <v>243</v>
      </c>
      <c r="C196" s="153" t="s">
        <v>181</v>
      </c>
      <c r="D196" s="153" t="s">
        <v>870</v>
      </c>
      <c r="E196" s="153" t="s">
        <v>870</v>
      </c>
      <c r="F196" s="154">
        <v>10.199999999999999</v>
      </c>
      <c r="G196" s="153" t="s">
        <v>298</v>
      </c>
      <c r="H196" s="92"/>
      <c r="I196" s="156" t="s">
        <v>871</v>
      </c>
      <c r="J196" s="157"/>
    </row>
    <row r="197" spans="1:10" x14ac:dyDescent="0.3">
      <c r="A197" s="152">
        <v>245</v>
      </c>
      <c r="B197" s="152">
        <v>245</v>
      </c>
      <c r="C197" s="153" t="s">
        <v>181</v>
      </c>
      <c r="D197" s="153" t="s">
        <v>870</v>
      </c>
      <c r="E197" s="153" t="s">
        <v>870</v>
      </c>
      <c r="F197" s="154">
        <v>10.199999999999999</v>
      </c>
      <c r="G197" s="153" t="s">
        <v>298</v>
      </c>
      <c r="H197" s="92"/>
      <c r="I197" s="156" t="s">
        <v>871</v>
      </c>
      <c r="J197" s="157"/>
    </row>
    <row r="198" spans="1:10" x14ac:dyDescent="0.3">
      <c r="A198" s="152">
        <v>247</v>
      </c>
      <c r="B198" s="152">
        <v>247</v>
      </c>
      <c r="C198" s="153" t="s">
        <v>181</v>
      </c>
      <c r="D198" s="153" t="s">
        <v>870</v>
      </c>
      <c r="E198" s="153" t="s">
        <v>870</v>
      </c>
      <c r="F198" s="154">
        <v>20.8</v>
      </c>
      <c r="G198" s="153" t="s">
        <v>298</v>
      </c>
      <c r="H198" s="92"/>
      <c r="I198" s="156" t="s">
        <v>871</v>
      </c>
      <c r="J198" s="157"/>
    </row>
    <row r="199" spans="1:10" ht="15.6" x14ac:dyDescent="0.3">
      <c r="A199" s="152">
        <v>249</v>
      </c>
      <c r="B199" s="152">
        <v>249</v>
      </c>
      <c r="C199" s="153" t="s">
        <v>891</v>
      </c>
      <c r="D199" s="153" t="s">
        <v>861</v>
      </c>
      <c r="E199" s="153" t="s">
        <v>861</v>
      </c>
      <c r="F199" s="154">
        <v>11.2</v>
      </c>
      <c r="G199" s="153" t="s">
        <v>334</v>
      </c>
      <c r="H199" s="92"/>
      <c r="I199" s="158" t="s">
        <v>874</v>
      </c>
      <c r="J199" s="157"/>
    </row>
    <row r="200" spans="1:10" x14ac:dyDescent="0.3">
      <c r="A200" s="152">
        <v>251</v>
      </c>
      <c r="B200" s="152">
        <v>251</v>
      </c>
      <c r="C200" s="153" t="s">
        <v>181</v>
      </c>
      <c r="D200" s="153" t="s">
        <v>870</v>
      </c>
      <c r="E200" s="153" t="s">
        <v>870</v>
      </c>
      <c r="F200" s="154">
        <v>11</v>
      </c>
      <c r="G200" s="153" t="s">
        <v>298</v>
      </c>
      <c r="H200" s="92"/>
      <c r="I200" s="156" t="s">
        <v>871</v>
      </c>
      <c r="J200" s="157"/>
    </row>
    <row r="201" spans="1:10" x14ac:dyDescent="0.3">
      <c r="A201" s="152">
        <v>253</v>
      </c>
      <c r="B201" s="152">
        <v>253</v>
      </c>
      <c r="C201" s="153" t="s">
        <v>181</v>
      </c>
      <c r="D201" s="153" t="s">
        <v>870</v>
      </c>
      <c r="E201" s="153" t="s">
        <v>870</v>
      </c>
      <c r="F201" s="154">
        <v>20.6</v>
      </c>
      <c r="G201" s="153" t="s">
        <v>145</v>
      </c>
      <c r="H201" s="92"/>
      <c r="I201" s="156" t="s">
        <v>871</v>
      </c>
      <c r="J201" s="157"/>
    </row>
    <row r="202" spans="1:10" ht="15.6" x14ac:dyDescent="0.3">
      <c r="A202" s="152">
        <v>254</v>
      </c>
      <c r="B202" s="152"/>
      <c r="C202" s="153" t="s">
        <v>176</v>
      </c>
      <c r="D202" s="156" t="s">
        <v>859</v>
      </c>
      <c r="E202" s="156" t="s">
        <v>859</v>
      </c>
      <c r="F202" s="154">
        <v>9.1</v>
      </c>
      <c r="G202" s="153" t="s">
        <v>933</v>
      </c>
      <c r="H202" s="92"/>
      <c r="I202" s="158" t="s">
        <v>874</v>
      </c>
      <c r="J202" s="157"/>
    </row>
    <row r="203" spans="1:10" ht="15.6" x14ac:dyDescent="0.3">
      <c r="A203" s="152">
        <v>255</v>
      </c>
      <c r="B203" s="152"/>
      <c r="C203" s="153" t="s">
        <v>176</v>
      </c>
      <c r="D203" s="156" t="s">
        <v>859</v>
      </c>
      <c r="E203" s="156" t="s">
        <v>859</v>
      </c>
      <c r="F203" s="154">
        <v>9.1</v>
      </c>
      <c r="G203" s="153" t="s">
        <v>933</v>
      </c>
      <c r="H203" s="92"/>
      <c r="I203" s="158" t="s">
        <v>874</v>
      </c>
      <c r="J203" s="157"/>
    </row>
    <row r="204" spans="1:10" ht="15.6" x14ac:dyDescent="0.3">
      <c r="A204" s="152">
        <v>256</v>
      </c>
      <c r="B204" s="152"/>
      <c r="C204" s="153" t="s">
        <v>176</v>
      </c>
      <c r="D204" s="156" t="s">
        <v>859</v>
      </c>
      <c r="E204" s="156" t="s">
        <v>859</v>
      </c>
      <c r="F204" s="154">
        <v>14.8</v>
      </c>
      <c r="G204" s="153" t="s">
        <v>933</v>
      </c>
      <c r="H204" s="92"/>
      <c r="I204" s="158" t="s">
        <v>874</v>
      </c>
      <c r="J204" s="157"/>
    </row>
    <row r="205" spans="1:10" ht="15.6" x14ac:dyDescent="0.3">
      <c r="A205" s="152">
        <v>257</v>
      </c>
      <c r="B205" s="152"/>
      <c r="C205" s="153" t="s">
        <v>176</v>
      </c>
      <c r="D205" s="156" t="s">
        <v>859</v>
      </c>
      <c r="E205" s="156" t="s">
        <v>859</v>
      </c>
      <c r="F205" s="154">
        <v>14.9</v>
      </c>
      <c r="G205" s="153" t="s">
        <v>933</v>
      </c>
      <c r="H205" s="92"/>
      <c r="I205" s="158" t="s">
        <v>874</v>
      </c>
      <c r="J205" s="157"/>
    </row>
    <row r="206" spans="1:10" ht="15.6" x14ac:dyDescent="0.3">
      <c r="A206" s="152">
        <v>290</v>
      </c>
      <c r="B206" s="152"/>
      <c r="C206" s="153" t="s">
        <v>319</v>
      </c>
      <c r="D206" s="153" t="s">
        <v>860</v>
      </c>
      <c r="E206" s="153" t="s">
        <v>860</v>
      </c>
      <c r="F206" s="154">
        <v>22.7</v>
      </c>
      <c r="G206" s="153" t="s">
        <v>933</v>
      </c>
      <c r="H206" s="92"/>
      <c r="I206" s="158" t="s">
        <v>874</v>
      </c>
      <c r="J206" s="157"/>
    </row>
    <row r="207" spans="1:10" ht="15.6" x14ac:dyDescent="0.3">
      <c r="A207" s="152">
        <v>291</v>
      </c>
      <c r="B207" s="152"/>
      <c r="C207" s="153" t="s">
        <v>319</v>
      </c>
      <c r="D207" s="153" t="s">
        <v>860</v>
      </c>
      <c r="E207" s="153" t="s">
        <v>860</v>
      </c>
      <c r="F207" s="154">
        <v>25.7</v>
      </c>
      <c r="G207" s="153" t="s">
        <v>933</v>
      </c>
      <c r="H207" s="92"/>
      <c r="I207" s="158" t="s">
        <v>874</v>
      </c>
      <c r="J207" s="157"/>
    </row>
    <row r="208" spans="1:10" ht="15.6" x14ac:dyDescent="0.3">
      <c r="A208" s="152">
        <v>292</v>
      </c>
      <c r="B208" s="152"/>
      <c r="C208" s="153" t="s">
        <v>862</v>
      </c>
      <c r="D208" s="153" t="s">
        <v>862</v>
      </c>
      <c r="E208" s="153" t="s">
        <v>862</v>
      </c>
      <c r="F208" s="154">
        <v>1.2</v>
      </c>
      <c r="G208" s="153"/>
      <c r="H208" s="92"/>
      <c r="I208" s="158" t="s">
        <v>874</v>
      </c>
      <c r="J208" s="157"/>
    </row>
    <row r="209" spans="1:13" ht="15.6" x14ac:dyDescent="0.3">
      <c r="A209" s="152">
        <v>293</v>
      </c>
      <c r="B209" s="152"/>
      <c r="C209" s="153" t="s">
        <v>862</v>
      </c>
      <c r="D209" s="153" t="s">
        <v>862</v>
      </c>
      <c r="E209" s="153" t="s">
        <v>862</v>
      </c>
      <c r="F209" s="154">
        <v>1.2</v>
      </c>
      <c r="G209" s="153"/>
      <c r="H209" s="92"/>
      <c r="I209" s="158" t="s">
        <v>874</v>
      </c>
      <c r="J209" s="157"/>
    </row>
    <row r="210" spans="1:13" ht="15.6" x14ac:dyDescent="0.3">
      <c r="A210" s="152">
        <v>294</v>
      </c>
      <c r="B210" s="152"/>
      <c r="C210" s="153" t="s">
        <v>862</v>
      </c>
      <c r="D210" s="153" t="s">
        <v>862</v>
      </c>
      <c r="E210" s="153" t="s">
        <v>862</v>
      </c>
      <c r="F210" s="154">
        <v>1.65</v>
      </c>
      <c r="G210" s="153"/>
      <c r="H210" s="92"/>
      <c r="I210" s="158" t="s">
        <v>874</v>
      </c>
      <c r="J210" s="157"/>
    </row>
    <row r="211" spans="1:13" ht="15.6" x14ac:dyDescent="0.3">
      <c r="A211" s="152" t="s">
        <v>941</v>
      </c>
      <c r="B211" s="152"/>
      <c r="C211" s="153" t="s">
        <v>86</v>
      </c>
      <c r="D211" s="153" t="s">
        <v>860</v>
      </c>
      <c r="E211" s="153" t="s">
        <v>860</v>
      </c>
      <c r="F211" s="154">
        <v>71.2</v>
      </c>
      <c r="G211" s="153" t="s">
        <v>933</v>
      </c>
      <c r="H211" s="92"/>
      <c r="I211" s="158" t="s">
        <v>874</v>
      </c>
      <c r="J211" s="157"/>
    </row>
    <row r="212" spans="1:13" ht="15.6" x14ac:dyDescent="0.3">
      <c r="A212" s="152" t="s">
        <v>942</v>
      </c>
      <c r="B212" s="152"/>
      <c r="C212" s="153" t="s">
        <v>86</v>
      </c>
      <c r="D212" s="153" t="s">
        <v>860</v>
      </c>
      <c r="E212" s="153" t="s">
        <v>860</v>
      </c>
      <c r="F212" s="154">
        <v>52.8</v>
      </c>
      <c r="G212" s="153" t="s">
        <v>933</v>
      </c>
      <c r="H212" s="92"/>
      <c r="I212" s="158" t="s">
        <v>874</v>
      </c>
      <c r="J212" s="157"/>
    </row>
    <row r="213" spans="1:13" ht="15.6" x14ac:dyDescent="0.3">
      <c r="A213" s="152" t="s">
        <v>943</v>
      </c>
      <c r="B213" s="152"/>
      <c r="C213" s="153" t="s">
        <v>86</v>
      </c>
      <c r="D213" s="153" t="s">
        <v>860</v>
      </c>
      <c r="E213" s="153" t="s">
        <v>860</v>
      </c>
      <c r="F213" s="154">
        <v>114.8</v>
      </c>
      <c r="G213" s="153" t="s">
        <v>933</v>
      </c>
      <c r="H213" s="92"/>
      <c r="I213" s="158" t="s">
        <v>874</v>
      </c>
      <c r="J213" s="157"/>
    </row>
    <row r="214" spans="1:13" ht="15.6" x14ac:dyDescent="0.3">
      <c r="A214" s="152" t="s">
        <v>944</v>
      </c>
      <c r="B214" s="152"/>
      <c r="C214" s="153" t="s">
        <v>86</v>
      </c>
      <c r="D214" s="153" t="s">
        <v>860</v>
      </c>
      <c r="E214" s="153" t="s">
        <v>860</v>
      </c>
      <c r="F214" s="154">
        <v>69.400000000000006</v>
      </c>
      <c r="G214" s="153" t="s">
        <v>933</v>
      </c>
      <c r="H214" s="92"/>
      <c r="I214" s="158" t="s">
        <v>874</v>
      </c>
      <c r="J214" s="157"/>
    </row>
    <row r="215" spans="1:13" ht="15.6" x14ac:dyDescent="0.3">
      <c r="A215" s="152" t="s">
        <v>945</v>
      </c>
      <c r="B215" s="152"/>
      <c r="C215" s="153" t="s">
        <v>86</v>
      </c>
      <c r="D215" s="153" t="s">
        <v>860</v>
      </c>
      <c r="E215" s="153" t="s">
        <v>860</v>
      </c>
      <c r="F215" s="154">
        <v>24.3</v>
      </c>
      <c r="G215" s="153" t="s">
        <v>933</v>
      </c>
      <c r="H215" s="92"/>
      <c r="I215" s="158" t="s">
        <v>874</v>
      </c>
      <c r="J215" s="157"/>
    </row>
    <row r="216" spans="1:13" ht="16.2" thickBot="1" x14ac:dyDescent="0.35">
      <c r="A216" s="176" t="s">
        <v>946</v>
      </c>
      <c r="B216" s="176"/>
      <c r="C216" s="161" t="s">
        <v>86</v>
      </c>
      <c r="D216" s="161" t="s">
        <v>860</v>
      </c>
      <c r="E216" s="161" t="s">
        <v>860</v>
      </c>
      <c r="F216" s="170">
        <v>71.5</v>
      </c>
      <c r="G216" s="161" t="s">
        <v>933</v>
      </c>
      <c r="H216" s="172"/>
      <c r="I216" s="158" t="s">
        <v>874</v>
      </c>
      <c r="J216" s="157"/>
    </row>
    <row r="217" spans="1:13" ht="15" thickBot="1" x14ac:dyDescent="0.35">
      <c r="A217" s="54" t="s">
        <v>57</v>
      </c>
      <c r="B217" s="55"/>
      <c r="C217" s="56"/>
      <c r="D217" s="56"/>
      <c r="E217" s="56"/>
      <c r="F217" s="57">
        <f>SUM(F147:F216)</f>
        <v>1571.4500000000003</v>
      </c>
      <c r="G217" s="58"/>
      <c r="H217" s="58"/>
      <c r="I217" s="59"/>
      <c r="J217" s="157"/>
    </row>
    <row r="218" spans="1:13" ht="15" thickBot="1" x14ac:dyDescent="0.35">
      <c r="A218" s="175"/>
      <c r="B218" s="157"/>
      <c r="C218" s="163"/>
      <c r="D218" s="163"/>
      <c r="E218" s="163"/>
      <c r="F218" s="164"/>
      <c r="G218" s="157"/>
      <c r="H218" s="157"/>
      <c r="I218" s="165"/>
      <c r="J218" s="157"/>
    </row>
    <row r="219" spans="1:13" ht="17.399999999999999" x14ac:dyDescent="0.3">
      <c r="A219" s="34" t="s">
        <v>947</v>
      </c>
      <c r="B219" s="35"/>
      <c r="C219" s="35"/>
      <c r="D219" s="35"/>
      <c r="E219" s="35"/>
      <c r="F219" s="36"/>
      <c r="G219" s="35"/>
      <c r="H219" s="35"/>
      <c r="I219" s="37"/>
      <c r="J219" s="157"/>
    </row>
    <row r="220" spans="1:13" ht="31.8" thickBot="1" x14ac:dyDescent="0.35">
      <c r="A220" s="45" t="s">
        <v>70</v>
      </c>
      <c r="B220" s="6" t="s">
        <v>70</v>
      </c>
      <c r="C220" s="6" t="s">
        <v>72</v>
      </c>
      <c r="D220" s="149" t="s">
        <v>864</v>
      </c>
      <c r="E220" s="149" t="s">
        <v>865</v>
      </c>
      <c r="F220" s="46" t="s">
        <v>73</v>
      </c>
      <c r="G220" s="6" t="s">
        <v>866</v>
      </c>
      <c r="H220" s="6" t="s">
        <v>867</v>
      </c>
      <c r="I220" s="7" t="s">
        <v>868</v>
      </c>
      <c r="J220" s="157"/>
    </row>
    <row r="221" spans="1:13" x14ac:dyDescent="0.3">
      <c r="A221" s="166" t="s">
        <v>948</v>
      </c>
      <c r="B221" s="166" t="s">
        <v>949</v>
      </c>
      <c r="C221" s="155" t="s">
        <v>209</v>
      </c>
      <c r="D221" s="153" t="s">
        <v>870</v>
      </c>
      <c r="E221" s="153" t="s">
        <v>870</v>
      </c>
      <c r="F221" s="167">
        <v>4.2</v>
      </c>
      <c r="G221" s="155" t="s">
        <v>298</v>
      </c>
      <c r="H221" s="168"/>
      <c r="I221" s="156" t="s">
        <v>871</v>
      </c>
      <c r="J221" s="157"/>
      <c r="L221" s="89" t="s">
        <v>68</v>
      </c>
      <c r="M221" t="s">
        <v>69</v>
      </c>
    </row>
    <row r="222" spans="1:13" x14ac:dyDescent="0.3">
      <c r="A222" s="152">
        <v>103</v>
      </c>
      <c r="B222" s="152">
        <v>103</v>
      </c>
      <c r="C222" s="153" t="s">
        <v>181</v>
      </c>
      <c r="D222" s="153" t="s">
        <v>870</v>
      </c>
      <c r="E222" s="153" t="s">
        <v>870</v>
      </c>
      <c r="F222" s="154">
        <v>22.5</v>
      </c>
      <c r="G222" s="153" t="s">
        <v>298</v>
      </c>
      <c r="H222" s="92"/>
      <c r="I222" s="156" t="s">
        <v>871</v>
      </c>
      <c r="J222" s="157"/>
      <c r="L222" s="90" t="s">
        <v>871</v>
      </c>
    </row>
    <row r="223" spans="1:13" x14ac:dyDescent="0.3">
      <c r="A223" s="152" t="s">
        <v>950</v>
      </c>
      <c r="B223" s="152"/>
      <c r="C223" s="153" t="s">
        <v>181</v>
      </c>
      <c r="D223" s="153" t="s">
        <v>870</v>
      </c>
      <c r="E223" s="153" t="s">
        <v>870</v>
      </c>
      <c r="F223" s="154">
        <v>48.8</v>
      </c>
      <c r="G223" s="153" t="s">
        <v>298</v>
      </c>
      <c r="H223" s="92"/>
      <c r="I223" s="156" t="s">
        <v>871</v>
      </c>
      <c r="J223" s="157"/>
      <c r="L223" s="99" t="s">
        <v>860</v>
      </c>
      <c r="M223">
        <v>2.6</v>
      </c>
    </row>
    <row r="224" spans="1:13" x14ac:dyDescent="0.3">
      <c r="A224" s="152" t="s">
        <v>951</v>
      </c>
      <c r="B224" s="152"/>
      <c r="C224" s="153" t="s">
        <v>313</v>
      </c>
      <c r="D224" s="153" t="s">
        <v>870</v>
      </c>
      <c r="E224" s="153" t="s">
        <v>870</v>
      </c>
      <c r="F224" s="154">
        <v>9.4</v>
      </c>
      <c r="G224" s="153" t="s">
        <v>145</v>
      </c>
      <c r="H224" s="92"/>
      <c r="I224" s="156" t="s">
        <v>871</v>
      </c>
      <c r="J224" s="157"/>
      <c r="L224" s="99" t="s">
        <v>870</v>
      </c>
      <c r="M224">
        <v>625.90000000000009</v>
      </c>
    </row>
    <row r="225" spans="1:13" x14ac:dyDescent="0.3">
      <c r="A225" s="152">
        <v>104</v>
      </c>
      <c r="B225" s="152">
        <v>104</v>
      </c>
      <c r="C225" s="153" t="s">
        <v>183</v>
      </c>
      <c r="D225" s="153" t="s">
        <v>861</v>
      </c>
      <c r="E225" s="153" t="s">
        <v>870</v>
      </c>
      <c r="F225" s="154">
        <v>31</v>
      </c>
      <c r="G225" s="153" t="s">
        <v>145</v>
      </c>
      <c r="H225" s="92"/>
      <c r="I225" s="156" t="s">
        <v>871</v>
      </c>
      <c r="J225" s="157"/>
      <c r="L225" s="90" t="s">
        <v>874</v>
      </c>
    </row>
    <row r="226" spans="1:13" x14ac:dyDescent="0.3">
      <c r="A226" s="152">
        <v>105</v>
      </c>
      <c r="B226" s="152">
        <v>105</v>
      </c>
      <c r="C226" s="153" t="s">
        <v>181</v>
      </c>
      <c r="D226" s="153" t="s">
        <v>870</v>
      </c>
      <c r="E226" s="153" t="s">
        <v>870</v>
      </c>
      <c r="F226" s="154">
        <v>12.4</v>
      </c>
      <c r="G226" s="153" t="s">
        <v>298</v>
      </c>
      <c r="H226" s="92"/>
      <c r="I226" s="156" t="s">
        <v>871</v>
      </c>
      <c r="J226" s="157"/>
      <c r="L226" s="99" t="s">
        <v>859</v>
      </c>
      <c r="M226">
        <v>47.6</v>
      </c>
    </row>
    <row r="227" spans="1:13" x14ac:dyDescent="0.3">
      <c r="A227" s="152">
        <v>106</v>
      </c>
      <c r="B227" s="152">
        <v>106</v>
      </c>
      <c r="C227" s="153" t="s">
        <v>183</v>
      </c>
      <c r="D227" s="153" t="s">
        <v>861</v>
      </c>
      <c r="E227" s="153" t="s">
        <v>870</v>
      </c>
      <c r="F227" s="154">
        <v>30.9</v>
      </c>
      <c r="G227" s="153" t="s">
        <v>145</v>
      </c>
      <c r="H227" s="92"/>
      <c r="I227" s="156" t="s">
        <v>871</v>
      </c>
      <c r="J227" s="157"/>
      <c r="L227" s="99" t="s">
        <v>860</v>
      </c>
      <c r="M227">
        <v>433.4</v>
      </c>
    </row>
    <row r="228" spans="1:13" x14ac:dyDescent="0.3">
      <c r="A228" s="152">
        <v>107</v>
      </c>
      <c r="B228" s="152">
        <v>107</v>
      </c>
      <c r="C228" s="153" t="s">
        <v>181</v>
      </c>
      <c r="D228" s="153" t="s">
        <v>870</v>
      </c>
      <c r="E228" s="153" t="s">
        <v>870</v>
      </c>
      <c r="F228" s="154">
        <v>21.8</v>
      </c>
      <c r="G228" s="153" t="s">
        <v>298</v>
      </c>
      <c r="H228" s="92"/>
      <c r="I228" s="156" t="s">
        <v>871</v>
      </c>
      <c r="J228" s="157"/>
      <c r="L228" s="99" t="s">
        <v>861</v>
      </c>
      <c r="M228">
        <v>212.90000000000003</v>
      </c>
    </row>
    <row r="229" spans="1:13" ht="15.6" x14ac:dyDescent="0.3">
      <c r="A229" s="152">
        <v>108</v>
      </c>
      <c r="B229" s="152" t="s">
        <v>952</v>
      </c>
      <c r="C229" s="153" t="s">
        <v>885</v>
      </c>
      <c r="D229" s="153" t="s">
        <v>953</v>
      </c>
      <c r="E229" s="153" t="s">
        <v>953</v>
      </c>
      <c r="F229" s="154">
        <v>65.5</v>
      </c>
      <c r="G229" s="153" t="s">
        <v>145</v>
      </c>
      <c r="H229" s="92"/>
      <c r="I229" s="158" t="s">
        <v>954</v>
      </c>
      <c r="J229" s="157"/>
      <c r="L229" s="99" t="s">
        <v>881</v>
      </c>
      <c r="M229">
        <v>178</v>
      </c>
    </row>
    <row r="230" spans="1:13" ht="15.6" x14ac:dyDescent="0.3">
      <c r="A230" s="152">
        <v>110</v>
      </c>
      <c r="B230" s="152">
        <v>110</v>
      </c>
      <c r="C230" s="153" t="s">
        <v>183</v>
      </c>
      <c r="D230" s="153" t="s">
        <v>861</v>
      </c>
      <c r="E230" s="153" t="s">
        <v>861</v>
      </c>
      <c r="F230" s="154">
        <v>17.5</v>
      </c>
      <c r="G230" s="153" t="s">
        <v>145</v>
      </c>
      <c r="H230" s="92"/>
      <c r="I230" s="158" t="s">
        <v>874</v>
      </c>
      <c r="J230" s="157"/>
      <c r="L230" s="99" t="s">
        <v>862</v>
      </c>
      <c r="M230">
        <v>4.05</v>
      </c>
    </row>
    <row r="231" spans="1:13" x14ac:dyDescent="0.3">
      <c r="A231" s="152">
        <v>111</v>
      </c>
      <c r="B231" s="152">
        <v>111</v>
      </c>
      <c r="C231" s="153" t="s">
        <v>181</v>
      </c>
      <c r="D231" s="153" t="s">
        <v>870</v>
      </c>
      <c r="E231" s="153" t="s">
        <v>870</v>
      </c>
      <c r="F231" s="154">
        <v>11.1</v>
      </c>
      <c r="G231" s="153" t="s">
        <v>145</v>
      </c>
      <c r="H231" s="92"/>
      <c r="I231" s="156" t="s">
        <v>871</v>
      </c>
      <c r="J231" s="157"/>
      <c r="L231" s="90" t="s">
        <v>954</v>
      </c>
    </row>
    <row r="232" spans="1:13" x14ac:dyDescent="0.3">
      <c r="A232" s="152">
        <v>112</v>
      </c>
      <c r="B232" s="152">
        <v>112</v>
      </c>
      <c r="C232" s="153" t="s">
        <v>181</v>
      </c>
      <c r="D232" s="153" t="s">
        <v>870</v>
      </c>
      <c r="E232" s="153" t="s">
        <v>870</v>
      </c>
      <c r="F232" s="154">
        <v>16.2</v>
      </c>
      <c r="G232" s="153" t="s">
        <v>145</v>
      </c>
      <c r="H232" s="92"/>
      <c r="I232" s="156" t="s">
        <v>871</v>
      </c>
      <c r="J232" s="157"/>
      <c r="L232" s="99" t="s">
        <v>953</v>
      </c>
      <c r="M232">
        <v>65.5</v>
      </c>
    </row>
    <row r="233" spans="1:13" x14ac:dyDescent="0.3">
      <c r="A233" s="152">
        <v>113</v>
      </c>
      <c r="B233" s="152">
        <v>113</v>
      </c>
      <c r="C233" s="153" t="s">
        <v>181</v>
      </c>
      <c r="D233" s="153" t="s">
        <v>870</v>
      </c>
      <c r="E233" s="153" t="s">
        <v>870</v>
      </c>
      <c r="F233" s="154">
        <v>11.2</v>
      </c>
      <c r="G233" s="153" t="s">
        <v>298</v>
      </c>
      <c r="H233" s="92"/>
      <c r="I233" s="156" t="s">
        <v>871</v>
      </c>
      <c r="J233" s="157"/>
      <c r="L233" s="90" t="s">
        <v>122</v>
      </c>
      <c r="M233">
        <v>1569.95</v>
      </c>
    </row>
    <row r="234" spans="1:13" x14ac:dyDescent="0.3">
      <c r="A234" s="152" t="s">
        <v>955</v>
      </c>
      <c r="B234" s="152" t="s">
        <v>956</v>
      </c>
      <c r="C234" s="153" t="s">
        <v>181</v>
      </c>
      <c r="D234" s="153" t="s">
        <v>870</v>
      </c>
      <c r="E234" s="153" t="s">
        <v>870</v>
      </c>
      <c r="F234" s="154">
        <v>17.100000000000001</v>
      </c>
      <c r="G234" s="153" t="s">
        <v>145</v>
      </c>
      <c r="H234" s="92"/>
      <c r="I234" s="156" t="s">
        <v>871</v>
      </c>
      <c r="J234" s="157"/>
    </row>
    <row r="235" spans="1:13" x14ac:dyDescent="0.3">
      <c r="A235" s="152" t="s">
        <v>957</v>
      </c>
      <c r="B235" s="152" t="s">
        <v>958</v>
      </c>
      <c r="C235" s="153" t="s">
        <v>181</v>
      </c>
      <c r="D235" s="153" t="s">
        <v>870</v>
      </c>
      <c r="E235" s="153" t="s">
        <v>870</v>
      </c>
      <c r="F235" s="154">
        <v>16.399999999999999</v>
      </c>
      <c r="G235" s="153" t="s">
        <v>145</v>
      </c>
      <c r="H235" s="92"/>
      <c r="I235" s="156" t="s">
        <v>871</v>
      </c>
      <c r="J235" s="157"/>
    </row>
    <row r="236" spans="1:13" x14ac:dyDescent="0.3">
      <c r="A236" s="152">
        <v>115</v>
      </c>
      <c r="B236" s="152">
        <v>115</v>
      </c>
      <c r="C236" s="153" t="s">
        <v>181</v>
      </c>
      <c r="D236" s="153" t="s">
        <v>870</v>
      </c>
      <c r="E236" s="153" t="s">
        <v>870</v>
      </c>
      <c r="F236" s="154">
        <v>22.4</v>
      </c>
      <c r="G236" s="153" t="s">
        <v>145</v>
      </c>
      <c r="H236" s="92"/>
      <c r="I236" s="156" t="s">
        <v>871</v>
      </c>
      <c r="J236" s="157"/>
    </row>
    <row r="237" spans="1:13" x14ac:dyDescent="0.3">
      <c r="A237" s="152">
        <v>116</v>
      </c>
      <c r="B237" s="152">
        <v>116</v>
      </c>
      <c r="C237" s="153" t="s">
        <v>181</v>
      </c>
      <c r="D237" s="153" t="s">
        <v>870</v>
      </c>
      <c r="E237" s="153" t="s">
        <v>870</v>
      </c>
      <c r="F237" s="154">
        <v>17.3</v>
      </c>
      <c r="G237" s="153" t="s">
        <v>145</v>
      </c>
      <c r="H237" s="92"/>
      <c r="I237" s="156" t="s">
        <v>871</v>
      </c>
      <c r="J237" s="157"/>
    </row>
    <row r="238" spans="1:13" x14ac:dyDescent="0.3">
      <c r="A238" s="152">
        <v>117</v>
      </c>
      <c r="B238" s="152">
        <v>117</v>
      </c>
      <c r="C238" s="153" t="s">
        <v>181</v>
      </c>
      <c r="D238" s="153" t="s">
        <v>870</v>
      </c>
      <c r="E238" s="153" t="s">
        <v>870</v>
      </c>
      <c r="F238" s="154">
        <v>11.1</v>
      </c>
      <c r="G238" s="153" t="s">
        <v>145</v>
      </c>
      <c r="H238" s="92"/>
      <c r="I238" s="156" t="s">
        <v>871</v>
      </c>
      <c r="J238" s="157"/>
    </row>
    <row r="239" spans="1:13" x14ac:dyDescent="0.3">
      <c r="A239" s="152">
        <v>118</v>
      </c>
      <c r="B239" s="152">
        <v>118</v>
      </c>
      <c r="C239" s="153" t="s">
        <v>181</v>
      </c>
      <c r="D239" s="153" t="s">
        <v>870</v>
      </c>
      <c r="E239" s="153" t="s">
        <v>870</v>
      </c>
      <c r="F239" s="154">
        <v>16.399999999999999</v>
      </c>
      <c r="G239" s="153" t="s">
        <v>298</v>
      </c>
      <c r="H239" s="92"/>
      <c r="I239" s="156" t="s">
        <v>871</v>
      </c>
      <c r="J239" s="157"/>
    </row>
    <row r="240" spans="1:13" x14ac:dyDescent="0.3">
      <c r="A240" s="152">
        <v>119</v>
      </c>
      <c r="B240" s="152">
        <v>119</v>
      </c>
      <c r="C240" s="153" t="s">
        <v>181</v>
      </c>
      <c r="D240" s="153" t="s">
        <v>870</v>
      </c>
      <c r="E240" s="153" t="s">
        <v>870</v>
      </c>
      <c r="F240" s="154">
        <v>11.1</v>
      </c>
      <c r="G240" s="153" t="s">
        <v>145</v>
      </c>
      <c r="H240" s="92"/>
      <c r="I240" s="156" t="s">
        <v>871</v>
      </c>
      <c r="J240" s="157"/>
    </row>
    <row r="241" spans="1:10" x14ac:dyDescent="0.3">
      <c r="A241" s="152">
        <v>120</v>
      </c>
      <c r="B241" s="152">
        <v>120</v>
      </c>
      <c r="C241" s="153" t="s">
        <v>181</v>
      </c>
      <c r="D241" s="153" t="s">
        <v>870</v>
      </c>
      <c r="E241" s="153" t="s">
        <v>870</v>
      </c>
      <c r="F241" s="154">
        <v>16.3</v>
      </c>
      <c r="G241" s="153" t="s">
        <v>145</v>
      </c>
      <c r="H241" s="92"/>
      <c r="I241" s="156" t="s">
        <v>871</v>
      </c>
      <c r="J241" s="157"/>
    </row>
    <row r="242" spans="1:10" x14ac:dyDescent="0.3">
      <c r="A242" s="152">
        <v>121</v>
      </c>
      <c r="B242" s="152">
        <v>121</v>
      </c>
      <c r="C242" s="153" t="s">
        <v>181</v>
      </c>
      <c r="D242" s="153" t="s">
        <v>870</v>
      </c>
      <c r="E242" s="153" t="s">
        <v>870</v>
      </c>
      <c r="F242" s="154">
        <v>12.1</v>
      </c>
      <c r="G242" s="153" t="s">
        <v>145</v>
      </c>
      <c r="H242" s="92"/>
      <c r="I242" s="156" t="s">
        <v>871</v>
      </c>
      <c r="J242" s="157"/>
    </row>
    <row r="243" spans="1:10" x14ac:dyDescent="0.3">
      <c r="A243" s="152" t="s">
        <v>959</v>
      </c>
      <c r="B243" s="152" t="s">
        <v>959</v>
      </c>
      <c r="C243" s="153" t="s">
        <v>181</v>
      </c>
      <c r="D243" s="153" t="s">
        <v>870</v>
      </c>
      <c r="E243" s="153" t="s">
        <v>870</v>
      </c>
      <c r="F243" s="154">
        <v>11.1</v>
      </c>
      <c r="G243" s="153" t="s">
        <v>145</v>
      </c>
      <c r="H243" s="92"/>
      <c r="I243" s="156" t="s">
        <v>871</v>
      </c>
      <c r="J243" s="157"/>
    </row>
    <row r="244" spans="1:10" ht="15.6" x14ac:dyDescent="0.3">
      <c r="A244" s="152">
        <v>122</v>
      </c>
      <c r="B244" s="152">
        <v>122</v>
      </c>
      <c r="C244" s="153" t="s">
        <v>183</v>
      </c>
      <c r="D244" s="153" t="s">
        <v>861</v>
      </c>
      <c r="E244" s="153" t="s">
        <v>861</v>
      </c>
      <c r="F244" s="154">
        <v>16.2</v>
      </c>
      <c r="G244" s="153" t="s">
        <v>145</v>
      </c>
      <c r="H244" s="92"/>
      <c r="I244" s="158" t="s">
        <v>874</v>
      </c>
      <c r="J244" s="157"/>
    </row>
    <row r="245" spans="1:10" x14ac:dyDescent="0.3">
      <c r="A245" s="152">
        <v>123</v>
      </c>
      <c r="B245" s="152">
        <v>123</v>
      </c>
      <c r="C245" s="153" t="s">
        <v>181</v>
      </c>
      <c r="D245" s="153" t="s">
        <v>870</v>
      </c>
      <c r="E245" s="153" t="s">
        <v>870</v>
      </c>
      <c r="F245" s="154">
        <v>11.2</v>
      </c>
      <c r="G245" s="153" t="s">
        <v>145</v>
      </c>
      <c r="H245" s="92"/>
      <c r="I245" s="156" t="s">
        <v>871</v>
      </c>
      <c r="J245" s="157"/>
    </row>
    <row r="246" spans="1:10" ht="15.6" x14ac:dyDescent="0.3">
      <c r="A246" s="152">
        <v>124</v>
      </c>
      <c r="B246" s="152">
        <v>124</v>
      </c>
      <c r="C246" s="153" t="s">
        <v>183</v>
      </c>
      <c r="D246" s="153" t="s">
        <v>861</v>
      </c>
      <c r="E246" s="153" t="s">
        <v>861</v>
      </c>
      <c r="F246" s="154">
        <v>29.7</v>
      </c>
      <c r="G246" s="153" t="s">
        <v>145</v>
      </c>
      <c r="H246" s="92"/>
      <c r="I246" s="158" t="s">
        <v>874</v>
      </c>
      <c r="J246" s="157"/>
    </row>
    <row r="247" spans="1:10" x14ac:dyDescent="0.3">
      <c r="A247" s="152" t="s">
        <v>960</v>
      </c>
      <c r="B247" s="152"/>
      <c r="C247" s="153" t="s">
        <v>290</v>
      </c>
      <c r="D247" s="153" t="s">
        <v>860</v>
      </c>
      <c r="E247" s="153" t="s">
        <v>860</v>
      </c>
      <c r="F247" s="154">
        <v>2.6</v>
      </c>
      <c r="G247" s="153" t="s">
        <v>89</v>
      </c>
      <c r="H247" s="92"/>
      <c r="I247" s="156" t="s">
        <v>871</v>
      </c>
      <c r="J247" s="157"/>
    </row>
    <row r="248" spans="1:10" x14ac:dyDescent="0.3">
      <c r="A248" s="152">
        <v>125</v>
      </c>
      <c r="B248" s="152">
        <v>125</v>
      </c>
      <c r="C248" s="153" t="s">
        <v>181</v>
      </c>
      <c r="D248" s="153" t="s">
        <v>870</v>
      </c>
      <c r="E248" s="153" t="s">
        <v>870</v>
      </c>
      <c r="F248" s="154">
        <v>11.1</v>
      </c>
      <c r="G248" s="153" t="s">
        <v>145</v>
      </c>
      <c r="H248" s="92"/>
      <c r="I248" s="156" t="s">
        <v>871</v>
      </c>
      <c r="J248" s="157"/>
    </row>
    <row r="249" spans="1:10" ht="15.6" x14ac:dyDescent="0.3">
      <c r="A249" s="152">
        <v>126</v>
      </c>
      <c r="B249" s="152">
        <v>126</v>
      </c>
      <c r="C249" s="153" t="s">
        <v>885</v>
      </c>
      <c r="D249" s="153" t="s">
        <v>881</v>
      </c>
      <c r="E249" s="153" t="s">
        <v>881</v>
      </c>
      <c r="F249" s="154">
        <v>66.900000000000006</v>
      </c>
      <c r="G249" s="153" t="s">
        <v>145</v>
      </c>
      <c r="H249" s="92"/>
      <c r="I249" s="158" t="s">
        <v>874</v>
      </c>
      <c r="J249" s="157"/>
    </row>
    <row r="250" spans="1:10" x14ac:dyDescent="0.3">
      <c r="A250" s="152">
        <v>127</v>
      </c>
      <c r="B250" s="152">
        <v>127</v>
      </c>
      <c r="C250" s="153" t="s">
        <v>181</v>
      </c>
      <c r="D250" s="153" t="s">
        <v>870</v>
      </c>
      <c r="E250" s="153" t="s">
        <v>870</v>
      </c>
      <c r="F250" s="154">
        <v>11</v>
      </c>
      <c r="G250" s="153" t="s">
        <v>145</v>
      </c>
      <c r="H250" s="92"/>
      <c r="I250" s="156" t="s">
        <v>871</v>
      </c>
      <c r="J250" s="157"/>
    </row>
    <row r="251" spans="1:10" x14ac:dyDescent="0.3">
      <c r="A251" s="152" t="s">
        <v>961</v>
      </c>
      <c r="B251" s="152" t="s">
        <v>961</v>
      </c>
      <c r="C251" s="153" t="s">
        <v>181</v>
      </c>
      <c r="D251" s="153" t="s">
        <v>870</v>
      </c>
      <c r="E251" s="153" t="s">
        <v>870</v>
      </c>
      <c r="F251" s="154">
        <v>11.2</v>
      </c>
      <c r="G251" s="153" t="s">
        <v>145</v>
      </c>
      <c r="H251" s="92"/>
      <c r="I251" s="156" t="s">
        <v>871</v>
      </c>
      <c r="J251" s="157"/>
    </row>
    <row r="252" spans="1:10" ht="15.6" x14ac:dyDescent="0.3">
      <c r="A252" s="152">
        <v>128</v>
      </c>
      <c r="B252" s="152">
        <v>128</v>
      </c>
      <c r="C252" s="8" t="s">
        <v>909</v>
      </c>
      <c r="D252" s="8" t="s">
        <v>861</v>
      </c>
      <c r="E252" s="8" t="s">
        <v>861</v>
      </c>
      <c r="F252" s="154">
        <v>16.2</v>
      </c>
      <c r="G252" s="153" t="s">
        <v>145</v>
      </c>
      <c r="H252" s="92"/>
      <c r="I252" s="158" t="s">
        <v>874</v>
      </c>
      <c r="J252" s="157"/>
    </row>
    <row r="253" spans="1:10" x14ac:dyDescent="0.3">
      <c r="A253" s="152">
        <v>129</v>
      </c>
      <c r="B253" s="152">
        <v>129</v>
      </c>
      <c r="C253" s="153" t="s">
        <v>962</v>
      </c>
      <c r="D253" s="153" t="s">
        <v>870</v>
      </c>
      <c r="E253" s="153" t="s">
        <v>870</v>
      </c>
      <c r="F253" s="154">
        <v>22.8</v>
      </c>
      <c r="G253" s="153" t="s">
        <v>145</v>
      </c>
      <c r="H253" s="92"/>
      <c r="I253" s="156" t="s">
        <v>871</v>
      </c>
      <c r="J253" s="157"/>
    </row>
    <row r="254" spans="1:10" ht="15.6" x14ac:dyDescent="0.3">
      <c r="A254" s="152">
        <v>130</v>
      </c>
      <c r="B254" s="152">
        <v>130</v>
      </c>
      <c r="C254" s="8" t="s">
        <v>963</v>
      </c>
      <c r="D254" s="8" t="s">
        <v>861</v>
      </c>
      <c r="E254" s="8" t="s">
        <v>861</v>
      </c>
      <c r="F254" s="154">
        <v>16.3</v>
      </c>
      <c r="G254" s="153" t="s">
        <v>145</v>
      </c>
      <c r="H254" s="92"/>
      <c r="I254" s="158" t="s">
        <v>874</v>
      </c>
      <c r="J254" s="157"/>
    </row>
    <row r="255" spans="1:10" ht="15.6" x14ac:dyDescent="0.3">
      <c r="A255" s="152">
        <v>131</v>
      </c>
      <c r="B255" s="152">
        <v>131</v>
      </c>
      <c r="C255" s="153" t="s">
        <v>891</v>
      </c>
      <c r="D255" s="153" t="s">
        <v>861</v>
      </c>
      <c r="E255" s="153" t="s">
        <v>861</v>
      </c>
      <c r="F255" s="154">
        <v>11</v>
      </c>
      <c r="G255" s="153" t="s">
        <v>334</v>
      </c>
      <c r="H255" s="92"/>
      <c r="I255" s="158" t="s">
        <v>874</v>
      </c>
      <c r="J255" s="157"/>
    </row>
    <row r="256" spans="1:10" ht="15.6" x14ac:dyDescent="0.3">
      <c r="A256" s="152">
        <v>132</v>
      </c>
      <c r="B256" s="152">
        <v>132</v>
      </c>
      <c r="C256" s="153" t="s">
        <v>885</v>
      </c>
      <c r="D256" s="153" t="s">
        <v>881</v>
      </c>
      <c r="E256" s="153" t="s">
        <v>881</v>
      </c>
      <c r="F256" s="154">
        <v>65.3</v>
      </c>
      <c r="G256" s="153" t="s">
        <v>145</v>
      </c>
      <c r="H256" s="92"/>
      <c r="I256" s="158" t="s">
        <v>874</v>
      </c>
      <c r="J256" s="157"/>
    </row>
    <row r="257" spans="1:10" x14ac:dyDescent="0.3">
      <c r="A257" s="152">
        <v>133</v>
      </c>
      <c r="B257" s="152">
        <v>133</v>
      </c>
      <c r="C257" s="153" t="s">
        <v>181</v>
      </c>
      <c r="D257" s="153" t="s">
        <v>870</v>
      </c>
      <c r="E257" s="153" t="s">
        <v>870</v>
      </c>
      <c r="F257" s="154">
        <v>11.1</v>
      </c>
      <c r="G257" s="153" t="s">
        <v>145</v>
      </c>
      <c r="H257" s="92"/>
      <c r="I257" s="156" t="s">
        <v>871</v>
      </c>
      <c r="J257" s="157"/>
    </row>
    <row r="258" spans="1:10" x14ac:dyDescent="0.3">
      <c r="A258" s="152">
        <v>134</v>
      </c>
      <c r="B258" s="152"/>
      <c r="C258" s="153" t="s">
        <v>181</v>
      </c>
      <c r="D258" s="153" t="s">
        <v>870</v>
      </c>
      <c r="E258" s="153" t="s">
        <v>870</v>
      </c>
      <c r="F258" s="154">
        <v>16.7</v>
      </c>
      <c r="G258" s="153" t="s">
        <v>145</v>
      </c>
      <c r="H258" s="92"/>
      <c r="I258" s="156" t="s">
        <v>871</v>
      </c>
      <c r="J258" s="157"/>
    </row>
    <row r="259" spans="1:10" x14ac:dyDescent="0.3">
      <c r="A259" s="152">
        <v>135</v>
      </c>
      <c r="B259" s="152">
        <v>135</v>
      </c>
      <c r="C259" s="153" t="s">
        <v>181</v>
      </c>
      <c r="D259" s="153" t="s">
        <v>870</v>
      </c>
      <c r="E259" s="153" t="s">
        <v>870</v>
      </c>
      <c r="F259" s="154">
        <v>23.4</v>
      </c>
      <c r="G259" s="153" t="s">
        <v>145</v>
      </c>
      <c r="H259" s="92"/>
      <c r="I259" s="156" t="s">
        <v>871</v>
      </c>
      <c r="J259" s="157"/>
    </row>
    <row r="260" spans="1:10" x14ac:dyDescent="0.3">
      <c r="A260" s="152">
        <v>136</v>
      </c>
      <c r="B260" s="152">
        <v>136</v>
      </c>
      <c r="C260" s="153" t="s">
        <v>181</v>
      </c>
      <c r="D260" s="153" t="s">
        <v>870</v>
      </c>
      <c r="E260" s="153" t="s">
        <v>870</v>
      </c>
      <c r="F260" s="154">
        <v>17.100000000000001</v>
      </c>
      <c r="G260" s="153" t="s">
        <v>145</v>
      </c>
      <c r="H260" s="92"/>
      <c r="I260" s="156" t="s">
        <v>871</v>
      </c>
      <c r="J260" s="157"/>
    </row>
    <row r="261" spans="1:10" ht="15.6" x14ac:dyDescent="0.3">
      <c r="A261" s="152">
        <v>137</v>
      </c>
      <c r="B261" s="152">
        <v>137</v>
      </c>
      <c r="C261" s="153" t="s">
        <v>191</v>
      </c>
      <c r="D261" s="153" t="s">
        <v>881</v>
      </c>
      <c r="E261" s="153" t="s">
        <v>881</v>
      </c>
      <c r="F261" s="154">
        <v>45.8</v>
      </c>
      <c r="G261" s="153" t="s">
        <v>145</v>
      </c>
      <c r="H261" s="92"/>
      <c r="I261" s="158" t="s">
        <v>874</v>
      </c>
      <c r="J261" s="157"/>
    </row>
    <row r="262" spans="1:10" ht="15.6" x14ac:dyDescent="0.3">
      <c r="A262" s="152">
        <v>138</v>
      </c>
      <c r="B262" s="152">
        <v>138</v>
      </c>
      <c r="C262" s="153" t="s">
        <v>183</v>
      </c>
      <c r="D262" s="153" t="s">
        <v>861</v>
      </c>
      <c r="E262" s="153" t="s">
        <v>861</v>
      </c>
      <c r="F262" s="154">
        <v>15</v>
      </c>
      <c r="G262" s="153" t="s">
        <v>145</v>
      </c>
      <c r="H262" s="92"/>
      <c r="I262" s="158" t="s">
        <v>874</v>
      </c>
      <c r="J262" s="157"/>
    </row>
    <row r="263" spans="1:10" x14ac:dyDescent="0.3">
      <c r="A263" s="152">
        <v>140</v>
      </c>
      <c r="B263" s="152">
        <v>140</v>
      </c>
      <c r="C263" s="153" t="s">
        <v>181</v>
      </c>
      <c r="D263" s="153" t="s">
        <v>870</v>
      </c>
      <c r="E263" s="153" t="s">
        <v>870</v>
      </c>
      <c r="F263" s="154">
        <v>15.9</v>
      </c>
      <c r="G263" s="153" t="s">
        <v>145</v>
      </c>
      <c r="H263" s="92"/>
      <c r="I263" s="156" t="s">
        <v>871</v>
      </c>
      <c r="J263" s="157"/>
    </row>
    <row r="264" spans="1:10" ht="15.6" x14ac:dyDescent="0.3">
      <c r="A264" s="152">
        <v>142</v>
      </c>
      <c r="B264" s="152">
        <v>142</v>
      </c>
      <c r="C264" s="153" t="s">
        <v>183</v>
      </c>
      <c r="D264" s="153" t="s">
        <v>861</v>
      </c>
      <c r="E264" s="153" t="s">
        <v>861</v>
      </c>
      <c r="F264" s="154">
        <v>31.8</v>
      </c>
      <c r="G264" s="153" t="s">
        <v>145</v>
      </c>
      <c r="H264" s="92"/>
      <c r="I264" s="158" t="s">
        <v>874</v>
      </c>
      <c r="J264" s="157"/>
    </row>
    <row r="265" spans="1:10" x14ac:dyDescent="0.3">
      <c r="A265" s="152">
        <v>143</v>
      </c>
      <c r="B265" s="152">
        <v>143</v>
      </c>
      <c r="C265" s="153" t="s">
        <v>181</v>
      </c>
      <c r="D265" s="153" t="s">
        <v>870</v>
      </c>
      <c r="E265" s="153" t="s">
        <v>870</v>
      </c>
      <c r="F265" s="154">
        <v>21.8</v>
      </c>
      <c r="G265" s="153" t="s">
        <v>298</v>
      </c>
      <c r="H265" s="92"/>
      <c r="I265" s="156" t="s">
        <v>871</v>
      </c>
      <c r="J265" s="157"/>
    </row>
    <row r="266" spans="1:10" ht="15.6" x14ac:dyDescent="0.3">
      <c r="A266" s="152">
        <v>144</v>
      </c>
      <c r="B266" s="152">
        <v>144</v>
      </c>
      <c r="C266" s="153" t="s">
        <v>183</v>
      </c>
      <c r="D266" s="153" t="s">
        <v>861</v>
      </c>
      <c r="E266" s="153" t="s">
        <v>861</v>
      </c>
      <c r="F266" s="154">
        <v>15.8</v>
      </c>
      <c r="G266" s="153" t="s">
        <v>145</v>
      </c>
      <c r="H266" s="92"/>
      <c r="I266" s="158" t="s">
        <v>874</v>
      </c>
      <c r="J266" s="157"/>
    </row>
    <row r="267" spans="1:10" ht="15.6" x14ac:dyDescent="0.3">
      <c r="A267" s="152" t="s">
        <v>964</v>
      </c>
      <c r="B267" s="152"/>
      <c r="C267" s="153" t="s">
        <v>183</v>
      </c>
      <c r="D267" s="153" t="s">
        <v>861</v>
      </c>
      <c r="E267" s="153" t="s">
        <v>861</v>
      </c>
      <c r="F267" s="154">
        <v>14.8</v>
      </c>
      <c r="G267" s="153" t="s">
        <v>145</v>
      </c>
      <c r="H267" s="92"/>
      <c r="I267" s="158" t="s">
        <v>874</v>
      </c>
      <c r="J267" s="157"/>
    </row>
    <row r="268" spans="1:10" x14ac:dyDescent="0.3">
      <c r="A268" s="152">
        <v>145</v>
      </c>
      <c r="B268" s="152">
        <v>145</v>
      </c>
      <c r="C268" s="153" t="s">
        <v>181</v>
      </c>
      <c r="D268" s="153" t="s">
        <v>870</v>
      </c>
      <c r="E268" s="153" t="s">
        <v>870</v>
      </c>
      <c r="F268" s="154">
        <v>10.199999999999999</v>
      </c>
      <c r="G268" s="153" t="s">
        <v>298</v>
      </c>
      <c r="H268" s="92"/>
      <c r="I268" s="156" t="s">
        <v>871</v>
      </c>
      <c r="J268" s="157"/>
    </row>
    <row r="269" spans="1:10" ht="15.6" x14ac:dyDescent="0.3">
      <c r="A269" s="152">
        <v>146</v>
      </c>
      <c r="B269" s="152">
        <v>146</v>
      </c>
      <c r="C269" s="153" t="s">
        <v>183</v>
      </c>
      <c r="D269" s="153" t="s">
        <v>861</v>
      </c>
      <c r="E269" s="153" t="s">
        <v>861</v>
      </c>
      <c r="F269" s="154">
        <v>28.6</v>
      </c>
      <c r="G269" s="153" t="s">
        <v>145</v>
      </c>
      <c r="H269" s="92"/>
      <c r="I269" s="158" t="s">
        <v>874</v>
      </c>
      <c r="J269" s="157"/>
    </row>
    <row r="270" spans="1:10" x14ac:dyDescent="0.3">
      <c r="A270" s="152">
        <v>147</v>
      </c>
      <c r="B270" s="152">
        <v>147</v>
      </c>
      <c r="C270" s="153" t="s">
        <v>181</v>
      </c>
      <c r="D270" s="153" t="s">
        <v>870</v>
      </c>
      <c r="E270" s="153" t="s">
        <v>870</v>
      </c>
      <c r="F270" s="154">
        <v>10.1</v>
      </c>
      <c r="G270" s="153" t="s">
        <v>145</v>
      </c>
      <c r="H270" s="92"/>
      <c r="I270" s="156" t="s">
        <v>871</v>
      </c>
      <c r="J270" s="157"/>
    </row>
    <row r="271" spans="1:10" x14ac:dyDescent="0.3">
      <c r="A271" s="152">
        <v>149</v>
      </c>
      <c r="B271" s="152">
        <v>149</v>
      </c>
      <c r="C271" s="153" t="s">
        <v>181</v>
      </c>
      <c r="D271" s="153" t="s">
        <v>870</v>
      </c>
      <c r="E271" s="153" t="s">
        <v>870</v>
      </c>
      <c r="F271" s="154">
        <v>20.9</v>
      </c>
      <c r="G271" s="153" t="s">
        <v>145</v>
      </c>
      <c r="H271" s="92"/>
      <c r="I271" s="156" t="s">
        <v>871</v>
      </c>
      <c r="J271" s="157"/>
    </row>
    <row r="272" spans="1:10" x14ac:dyDescent="0.3">
      <c r="A272" s="152">
        <v>151</v>
      </c>
      <c r="B272" s="152">
        <v>151</v>
      </c>
      <c r="C272" s="153" t="s">
        <v>181</v>
      </c>
      <c r="D272" s="153" t="s">
        <v>870</v>
      </c>
      <c r="E272" s="153" t="s">
        <v>870</v>
      </c>
      <c r="F272" s="154">
        <v>10</v>
      </c>
      <c r="G272" s="153" t="s">
        <v>145</v>
      </c>
      <c r="H272" s="92"/>
      <c r="I272" s="156" t="s">
        <v>871</v>
      </c>
      <c r="J272" s="157"/>
    </row>
    <row r="273" spans="1:10" x14ac:dyDescent="0.3">
      <c r="A273" s="152">
        <v>153</v>
      </c>
      <c r="B273" s="152">
        <v>153</v>
      </c>
      <c r="C273" s="153" t="s">
        <v>181</v>
      </c>
      <c r="D273" s="153" t="s">
        <v>870</v>
      </c>
      <c r="E273" s="153" t="s">
        <v>870</v>
      </c>
      <c r="F273" s="154">
        <v>10.1</v>
      </c>
      <c r="G273" s="153" t="s">
        <v>145</v>
      </c>
      <c r="H273" s="92"/>
      <c r="I273" s="156" t="s">
        <v>871</v>
      </c>
      <c r="J273" s="157"/>
    </row>
    <row r="274" spans="1:10" x14ac:dyDescent="0.3">
      <c r="A274" s="152">
        <v>155</v>
      </c>
      <c r="B274" s="152">
        <v>155</v>
      </c>
      <c r="C274" s="153" t="s">
        <v>181</v>
      </c>
      <c r="D274" s="153" t="s">
        <v>870</v>
      </c>
      <c r="E274" s="153" t="s">
        <v>870</v>
      </c>
      <c r="F274" s="154">
        <v>20.5</v>
      </c>
      <c r="G274" s="153" t="s">
        <v>298</v>
      </c>
      <c r="H274" s="92"/>
      <c r="I274" s="156" t="s">
        <v>871</v>
      </c>
      <c r="J274" s="157"/>
    </row>
    <row r="275" spans="1:10" ht="15.6" x14ac:dyDescent="0.3">
      <c r="A275" s="152">
        <v>156</v>
      </c>
      <c r="B275" s="152"/>
      <c r="C275" s="153" t="s">
        <v>176</v>
      </c>
      <c r="D275" s="156" t="s">
        <v>859</v>
      </c>
      <c r="E275" s="156" t="s">
        <v>859</v>
      </c>
      <c r="F275" s="154">
        <v>9</v>
      </c>
      <c r="G275" s="153" t="s">
        <v>89</v>
      </c>
      <c r="H275" s="92"/>
      <c r="I275" s="158" t="s">
        <v>874</v>
      </c>
      <c r="J275" s="157"/>
    </row>
    <row r="276" spans="1:10" ht="15.6" x14ac:dyDescent="0.3">
      <c r="A276" s="152">
        <v>157</v>
      </c>
      <c r="B276" s="152"/>
      <c r="C276" s="153" t="s">
        <v>176</v>
      </c>
      <c r="D276" s="156" t="s">
        <v>859</v>
      </c>
      <c r="E276" s="156" t="s">
        <v>859</v>
      </c>
      <c r="F276" s="154">
        <v>8.9</v>
      </c>
      <c r="G276" s="153" t="s">
        <v>89</v>
      </c>
      <c r="H276" s="92"/>
      <c r="I276" s="158" t="s">
        <v>874</v>
      </c>
      <c r="J276" s="157"/>
    </row>
    <row r="277" spans="1:10" ht="15.6" x14ac:dyDescent="0.3">
      <c r="A277" s="152">
        <v>158</v>
      </c>
      <c r="B277" s="152"/>
      <c r="C277" s="153" t="s">
        <v>176</v>
      </c>
      <c r="D277" s="156" t="s">
        <v>859</v>
      </c>
      <c r="E277" s="156" t="s">
        <v>859</v>
      </c>
      <c r="F277" s="154">
        <v>14.8</v>
      </c>
      <c r="G277" s="153" t="s">
        <v>89</v>
      </c>
      <c r="H277" s="92"/>
      <c r="I277" s="158" t="s">
        <v>874</v>
      </c>
      <c r="J277" s="157"/>
    </row>
    <row r="278" spans="1:10" ht="15.6" x14ac:dyDescent="0.3">
      <c r="A278" s="152">
        <v>159</v>
      </c>
      <c r="B278" s="152"/>
      <c r="C278" s="153" t="s">
        <v>176</v>
      </c>
      <c r="D278" s="156" t="s">
        <v>859</v>
      </c>
      <c r="E278" s="156" t="s">
        <v>859</v>
      </c>
      <c r="F278" s="154">
        <v>14.9</v>
      </c>
      <c r="G278" s="153" t="s">
        <v>89</v>
      </c>
      <c r="H278" s="92"/>
      <c r="I278" s="158" t="s">
        <v>874</v>
      </c>
      <c r="J278" s="157"/>
    </row>
    <row r="279" spans="1:10" ht="15.6" x14ac:dyDescent="0.3">
      <c r="A279" s="152">
        <v>190</v>
      </c>
      <c r="B279" s="152"/>
      <c r="C279" s="153" t="s">
        <v>319</v>
      </c>
      <c r="D279" s="153" t="s">
        <v>860</v>
      </c>
      <c r="E279" s="153" t="s">
        <v>860</v>
      </c>
      <c r="F279" s="154">
        <v>22</v>
      </c>
      <c r="G279" s="153" t="s">
        <v>89</v>
      </c>
      <c r="H279" s="92"/>
      <c r="I279" s="158" t="s">
        <v>874</v>
      </c>
      <c r="J279" s="157"/>
    </row>
    <row r="280" spans="1:10" ht="15.6" x14ac:dyDescent="0.3">
      <c r="A280" s="152">
        <v>191</v>
      </c>
      <c r="B280" s="152"/>
      <c r="C280" s="153" t="s">
        <v>319</v>
      </c>
      <c r="D280" s="153" t="s">
        <v>860</v>
      </c>
      <c r="E280" s="153" t="s">
        <v>860</v>
      </c>
      <c r="F280" s="154">
        <v>25.7</v>
      </c>
      <c r="G280" s="153" t="s">
        <v>89</v>
      </c>
      <c r="H280" s="92"/>
      <c r="I280" s="158" t="s">
        <v>874</v>
      </c>
      <c r="J280" s="157"/>
    </row>
    <row r="281" spans="1:10" ht="15.6" x14ac:dyDescent="0.3">
      <c r="A281" s="152">
        <v>192</v>
      </c>
      <c r="B281" s="152"/>
      <c r="C281" s="153" t="s">
        <v>862</v>
      </c>
      <c r="D281" s="153" t="s">
        <v>862</v>
      </c>
      <c r="E281" s="153" t="s">
        <v>862</v>
      </c>
      <c r="F281" s="154">
        <v>1.2</v>
      </c>
      <c r="G281" s="153"/>
      <c r="H281" s="92"/>
      <c r="I281" s="158" t="s">
        <v>874</v>
      </c>
      <c r="J281" s="157"/>
    </row>
    <row r="282" spans="1:10" ht="15.6" x14ac:dyDescent="0.3">
      <c r="A282" s="152">
        <v>193</v>
      </c>
      <c r="B282" s="152"/>
      <c r="C282" s="153" t="s">
        <v>862</v>
      </c>
      <c r="D282" s="153" t="s">
        <v>862</v>
      </c>
      <c r="E282" s="153" t="s">
        <v>862</v>
      </c>
      <c r="F282" s="154">
        <v>1.2</v>
      </c>
      <c r="G282" s="153"/>
      <c r="H282" s="92"/>
      <c r="I282" s="158" t="s">
        <v>874</v>
      </c>
      <c r="J282" s="157"/>
    </row>
    <row r="283" spans="1:10" ht="15.6" x14ac:dyDescent="0.3">
      <c r="A283" s="152">
        <v>194</v>
      </c>
      <c r="B283" s="152"/>
      <c r="C283" s="153" t="s">
        <v>862</v>
      </c>
      <c r="D283" s="153" t="s">
        <v>862</v>
      </c>
      <c r="E283" s="153" t="s">
        <v>862</v>
      </c>
      <c r="F283" s="154">
        <v>1.65</v>
      </c>
      <c r="G283" s="153"/>
      <c r="H283" s="92"/>
      <c r="I283" s="158" t="s">
        <v>874</v>
      </c>
      <c r="J283" s="157"/>
    </row>
    <row r="284" spans="1:10" ht="15.6" x14ac:dyDescent="0.3">
      <c r="A284" s="152" t="s">
        <v>965</v>
      </c>
      <c r="B284" s="152"/>
      <c r="C284" s="153" t="s">
        <v>86</v>
      </c>
      <c r="D284" s="153" t="s">
        <v>860</v>
      </c>
      <c r="E284" s="153" t="s">
        <v>860</v>
      </c>
      <c r="F284" s="154">
        <v>52.8</v>
      </c>
      <c r="G284" s="153" t="s">
        <v>89</v>
      </c>
      <c r="H284" s="92"/>
      <c r="I284" s="158" t="s">
        <v>874</v>
      </c>
      <c r="J284" s="157"/>
    </row>
    <row r="285" spans="1:10" ht="15.6" x14ac:dyDescent="0.3">
      <c r="A285" s="152" t="s">
        <v>966</v>
      </c>
      <c r="B285" s="152"/>
      <c r="C285" s="153" t="s">
        <v>86</v>
      </c>
      <c r="D285" s="153" t="s">
        <v>860</v>
      </c>
      <c r="E285" s="153" t="s">
        <v>860</v>
      </c>
      <c r="F285" s="154">
        <v>52.8</v>
      </c>
      <c r="G285" s="153" t="s">
        <v>89</v>
      </c>
      <c r="H285" s="92"/>
      <c r="I285" s="158" t="s">
        <v>874</v>
      </c>
      <c r="J285" s="157"/>
    </row>
    <row r="286" spans="1:10" ht="15.6" x14ac:dyDescent="0.3">
      <c r="A286" s="152" t="s">
        <v>967</v>
      </c>
      <c r="B286" s="152"/>
      <c r="C286" s="153" t="s">
        <v>86</v>
      </c>
      <c r="D286" s="153" t="s">
        <v>860</v>
      </c>
      <c r="E286" s="153" t="s">
        <v>860</v>
      </c>
      <c r="F286" s="154">
        <v>114.7</v>
      </c>
      <c r="G286" s="153" t="s">
        <v>89</v>
      </c>
      <c r="H286" s="92"/>
      <c r="I286" s="158" t="s">
        <v>874</v>
      </c>
      <c r="J286" s="157"/>
    </row>
    <row r="287" spans="1:10" ht="15.6" x14ac:dyDescent="0.3">
      <c r="A287" s="152" t="s">
        <v>968</v>
      </c>
      <c r="B287" s="152"/>
      <c r="C287" s="153" t="s">
        <v>86</v>
      </c>
      <c r="D287" s="153" t="s">
        <v>860</v>
      </c>
      <c r="E287" s="153" t="s">
        <v>860</v>
      </c>
      <c r="F287" s="154">
        <v>69.5</v>
      </c>
      <c r="G287" s="153" t="s">
        <v>89</v>
      </c>
      <c r="H287" s="92"/>
      <c r="I287" s="158" t="s">
        <v>874</v>
      </c>
      <c r="J287" s="157"/>
    </row>
    <row r="288" spans="1:10" ht="15.6" x14ac:dyDescent="0.3">
      <c r="A288" s="152" t="s">
        <v>969</v>
      </c>
      <c r="B288" s="152"/>
      <c r="C288" s="153" t="s">
        <v>86</v>
      </c>
      <c r="D288" s="153" t="s">
        <v>860</v>
      </c>
      <c r="E288" s="153" t="s">
        <v>860</v>
      </c>
      <c r="F288" s="154">
        <v>24.4</v>
      </c>
      <c r="G288" s="153" t="s">
        <v>89</v>
      </c>
      <c r="H288" s="92"/>
      <c r="I288" s="158" t="s">
        <v>874</v>
      </c>
      <c r="J288" s="157"/>
    </row>
    <row r="289" spans="1:13" ht="16.2" thickBot="1" x14ac:dyDescent="0.35">
      <c r="A289" s="176" t="s">
        <v>970</v>
      </c>
      <c r="B289" s="176"/>
      <c r="C289" s="161" t="s">
        <v>86</v>
      </c>
      <c r="D289" s="161" t="s">
        <v>860</v>
      </c>
      <c r="E289" s="161" t="s">
        <v>860</v>
      </c>
      <c r="F289" s="170">
        <v>71.5</v>
      </c>
      <c r="G289" s="161" t="s">
        <v>89</v>
      </c>
      <c r="H289" s="172"/>
      <c r="I289" s="158" t="s">
        <v>874</v>
      </c>
      <c r="J289" s="157"/>
    </row>
    <row r="290" spans="1:13" ht="15" thickBot="1" x14ac:dyDescent="0.35">
      <c r="A290" s="54" t="s">
        <v>57</v>
      </c>
      <c r="B290" s="55"/>
      <c r="C290" s="56"/>
      <c r="D290" s="56"/>
      <c r="E290" s="56"/>
      <c r="F290" s="57">
        <f>SUM(F221:F289)</f>
        <v>1569.9500000000003</v>
      </c>
      <c r="G290" s="58"/>
      <c r="H290" s="58"/>
      <c r="I290" s="59"/>
      <c r="J290" s="157"/>
    </row>
    <row r="291" spans="1:13" ht="15" thickBot="1" x14ac:dyDescent="0.35">
      <c r="A291" s="175"/>
      <c r="B291" s="157"/>
      <c r="C291" s="163"/>
      <c r="D291" s="163"/>
      <c r="E291" s="163"/>
      <c r="F291" s="164"/>
      <c r="G291" s="157"/>
      <c r="H291" s="157"/>
      <c r="I291" s="165"/>
      <c r="J291" s="157"/>
    </row>
    <row r="292" spans="1:13" ht="17.399999999999999" x14ac:dyDescent="0.3">
      <c r="A292" s="34" t="s">
        <v>971</v>
      </c>
      <c r="B292" s="35"/>
      <c r="C292" s="35"/>
      <c r="D292" s="35"/>
      <c r="E292" s="35"/>
      <c r="F292" s="36"/>
      <c r="G292" s="35"/>
      <c r="H292" s="35"/>
      <c r="I292" s="37"/>
      <c r="J292" s="157"/>
    </row>
    <row r="293" spans="1:13" ht="31.8" thickBot="1" x14ac:dyDescent="0.35">
      <c r="A293" s="45" t="s">
        <v>70</v>
      </c>
      <c r="B293" s="6" t="s">
        <v>70</v>
      </c>
      <c r="C293" s="6" t="s">
        <v>72</v>
      </c>
      <c r="D293" s="149" t="s">
        <v>864</v>
      </c>
      <c r="E293" s="149" t="s">
        <v>865</v>
      </c>
      <c r="F293" s="46" t="s">
        <v>73</v>
      </c>
      <c r="G293" s="6" t="s">
        <v>972</v>
      </c>
      <c r="H293" s="6" t="s">
        <v>905</v>
      </c>
      <c r="I293" s="7" t="s">
        <v>868</v>
      </c>
      <c r="J293" s="157"/>
    </row>
    <row r="294" spans="1:13" x14ac:dyDescent="0.3">
      <c r="A294" s="60" t="s">
        <v>973</v>
      </c>
      <c r="B294" s="60" t="s">
        <v>973</v>
      </c>
      <c r="C294" s="155" t="s">
        <v>181</v>
      </c>
      <c r="D294" s="153" t="s">
        <v>870</v>
      </c>
      <c r="E294" s="153" t="s">
        <v>870</v>
      </c>
      <c r="F294" s="167">
        <v>20.7</v>
      </c>
      <c r="G294" s="155" t="s">
        <v>298</v>
      </c>
      <c r="H294" s="168"/>
      <c r="I294" s="156" t="s">
        <v>871</v>
      </c>
      <c r="J294" s="157"/>
      <c r="L294" s="89" t="s">
        <v>68</v>
      </c>
      <c r="M294" t="s">
        <v>69</v>
      </c>
    </row>
    <row r="295" spans="1:13" ht="15.6" x14ac:dyDescent="0.3">
      <c r="A295" s="41" t="s">
        <v>974</v>
      </c>
      <c r="B295" s="41" t="s">
        <v>974</v>
      </c>
      <c r="C295" s="153" t="s">
        <v>183</v>
      </c>
      <c r="D295" s="153" t="s">
        <v>861</v>
      </c>
      <c r="E295" s="153" t="s">
        <v>861</v>
      </c>
      <c r="F295" s="154">
        <v>33.5</v>
      </c>
      <c r="G295" s="153" t="s">
        <v>145</v>
      </c>
      <c r="H295" s="92"/>
      <c r="I295" s="158" t="s">
        <v>874</v>
      </c>
      <c r="J295" s="157"/>
      <c r="L295" s="90" t="s">
        <v>875</v>
      </c>
    </row>
    <row r="296" spans="1:13" x14ac:dyDescent="0.3">
      <c r="A296" s="152" t="s">
        <v>975</v>
      </c>
      <c r="B296" s="152" t="s">
        <v>975</v>
      </c>
      <c r="C296" s="153" t="s">
        <v>181</v>
      </c>
      <c r="D296" s="153" t="s">
        <v>870</v>
      </c>
      <c r="E296" s="153" t="s">
        <v>870</v>
      </c>
      <c r="F296" s="154">
        <v>5.6</v>
      </c>
      <c r="G296" s="153" t="s">
        <v>284</v>
      </c>
      <c r="H296" s="92"/>
      <c r="I296" s="156" t="s">
        <v>871</v>
      </c>
      <c r="J296" s="157"/>
      <c r="L296" s="99" t="s">
        <v>860</v>
      </c>
      <c r="M296">
        <v>184.4</v>
      </c>
    </row>
    <row r="297" spans="1:13" x14ac:dyDescent="0.3">
      <c r="A297" s="41" t="s">
        <v>976</v>
      </c>
      <c r="B297" s="41" t="s">
        <v>976</v>
      </c>
      <c r="C297" s="153" t="s">
        <v>181</v>
      </c>
      <c r="D297" s="153" t="s">
        <v>870</v>
      </c>
      <c r="E297" s="153" t="s">
        <v>870</v>
      </c>
      <c r="F297" s="154">
        <v>10.199999999999999</v>
      </c>
      <c r="G297" s="153" t="s">
        <v>298</v>
      </c>
      <c r="H297" s="92"/>
      <c r="I297" s="156" t="s">
        <v>871</v>
      </c>
      <c r="J297" s="157"/>
      <c r="L297" s="99" t="s">
        <v>861</v>
      </c>
      <c r="M297">
        <v>11.7</v>
      </c>
    </row>
    <row r="298" spans="1:13" ht="15.6" x14ac:dyDescent="0.3">
      <c r="A298" s="41" t="s">
        <v>977</v>
      </c>
      <c r="B298" s="41" t="s">
        <v>977</v>
      </c>
      <c r="C298" s="153" t="s">
        <v>183</v>
      </c>
      <c r="D298" s="153" t="s">
        <v>861</v>
      </c>
      <c r="E298" s="153" t="s">
        <v>861</v>
      </c>
      <c r="F298" s="154">
        <v>32.1</v>
      </c>
      <c r="G298" s="153" t="s">
        <v>145</v>
      </c>
      <c r="H298" s="92"/>
      <c r="I298" s="158" t="s">
        <v>874</v>
      </c>
      <c r="J298" s="157"/>
      <c r="L298" s="90" t="s">
        <v>871</v>
      </c>
    </row>
    <row r="299" spans="1:13" x14ac:dyDescent="0.3">
      <c r="A299" s="41" t="s">
        <v>185</v>
      </c>
      <c r="B299" s="41" t="s">
        <v>185</v>
      </c>
      <c r="C299" s="153" t="s">
        <v>181</v>
      </c>
      <c r="D299" s="153" t="s">
        <v>870</v>
      </c>
      <c r="E299" s="153" t="s">
        <v>870</v>
      </c>
      <c r="F299" s="154">
        <v>11.3</v>
      </c>
      <c r="G299" s="153" t="s">
        <v>145</v>
      </c>
      <c r="H299" s="92"/>
      <c r="I299" s="156" t="s">
        <v>871</v>
      </c>
      <c r="J299" s="157"/>
      <c r="L299" s="99" t="s">
        <v>870</v>
      </c>
      <c r="M299">
        <v>356.4</v>
      </c>
    </row>
    <row r="300" spans="1:13" ht="15.6" x14ac:dyDescent="0.3">
      <c r="A300" s="41" t="s">
        <v>978</v>
      </c>
      <c r="B300" s="41" t="s">
        <v>978</v>
      </c>
      <c r="C300" s="153" t="s">
        <v>183</v>
      </c>
      <c r="D300" s="153" t="s">
        <v>861</v>
      </c>
      <c r="E300" s="153" t="s">
        <v>861</v>
      </c>
      <c r="F300" s="154">
        <v>32.700000000000003</v>
      </c>
      <c r="G300" s="153" t="s">
        <v>145</v>
      </c>
      <c r="H300" s="92"/>
      <c r="I300" s="158" t="s">
        <v>874</v>
      </c>
      <c r="J300" s="157"/>
      <c r="L300" s="99" t="s">
        <v>861</v>
      </c>
      <c r="M300">
        <v>11.8</v>
      </c>
    </row>
    <row r="301" spans="1:13" x14ac:dyDescent="0.3">
      <c r="A301" s="41" t="s">
        <v>979</v>
      </c>
      <c r="B301" s="41" t="s">
        <v>979</v>
      </c>
      <c r="C301" s="153" t="s">
        <v>181</v>
      </c>
      <c r="D301" s="153" t="s">
        <v>870</v>
      </c>
      <c r="E301" s="153" t="s">
        <v>870</v>
      </c>
      <c r="F301" s="154">
        <v>21</v>
      </c>
      <c r="G301" s="153" t="s">
        <v>980</v>
      </c>
      <c r="H301" s="92"/>
      <c r="I301" s="156" t="s">
        <v>871</v>
      </c>
      <c r="J301" s="157"/>
      <c r="L301" s="90" t="s">
        <v>874</v>
      </c>
    </row>
    <row r="302" spans="1:13" ht="15.6" x14ac:dyDescent="0.3">
      <c r="A302" s="41" t="s">
        <v>981</v>
      </c>
      <c r="B302" s="41" t="s">
        <v>981</v>
      </c>
      <c r="C302" s="153" t="s">
        <v>183</v>
      </c>
      <c r="D302" s="153" t="s">
        <v>861</v>
      </c>
      <c r="E302" s="153" t="s">
        <v>861</v>
      </c>
      <c r="F302" s="154">
        <v>31.7</v>
      </c>
      <c r="G302" s="153" t="s">
        <v>145</v>
      </c>
      <c r="H302" s="92"/>
      <c r="I302" s="158" t="s">
        <v>874</v>
      </c>
      <c r="J302" s="157"/>
      <c r="L302" s="99" t="s">
        <v>859</v>
      </c>
      <c r="M302">
        <v>109.5</v>
      </c>
    </row>
    <row r="303" spans="1:13" x14ac:dyDescent="0.3">
      <c r="A303" s="41" t="s">
        <v>982</v>
      </c>
      <c r="B303" s="41" t="s">
        <v>982</v>
      </c>
      <c r="C303" s="153" t="s">
        <v>181</v>
      </c>
      <c r="D303" s="153" t="s">
        <v>870</v>
      </c>
      <c r="E303" s="153" t="s">
        <v>870</v>
      </c>
      <c r="F303" s="154">
        <v>10.199999999999999</v>
      </c>
      <c r="G303" s="153" t="s">
        <v>980</v>
      </c>
      <c r="H303" s="92"/>
      <c r="I303" s="156" t="s">
        <v>871</v>
      </c>
      <c r="J303" s="157"/>
      <c r="L303" s="99" t="s">
        <v>860</v>
      </c>
      <c r="M303">
        <v>846</v>
      </c>
    </row>
    <row r="304" spans="1:13" ht="15.6" x14ac:dyDescent="0.3">
      <c r="A304" s="152">
        <v>10</v>
      </c>
      <c r="B304" s="152">
        <v>10</v>
      </c>
      <c r="C304" s="153" t="s">
        <v>183</v>
      </c>
      <c r="D304" s="153" t="s">
        <v>861</v>
      </c>
      <c r="E304" s="153" t="s">
        <v>861</v>
      </c>
      <c r="F304" s="154">
        <v>31.7</v>
      </c>
      <c r="G304" s="153" t="s">
        <v>145</v>
      </c>
      <c r="H304" s="92"/>
      <c r="I304" s="158" t="s">
        <v>874</v>
      </c>
      <c r="J304" s="157"/>
      <c r="L304" s="99" t="s">
        <v>870</v>
      </c>
      <c r="M304">
        <v>23.7</v>
      </c>
    </row>
    <row r="305" spans="1:13" ht="15.6" x14ac:dyDescent="0.3">
      <c r="A305" s="152" t="s">
        <v>983</v>
      </c>
      <c r="B305" s="152"/>
      <c r="C305" s="153" t="s">
        <v>183</v>
      </c>
      <c r="D305" s="153" t="s">
        <v>861</v>
      </c>
      <c r="E305" s="153" t="s">
        <v>861</v>
      </c>
      <c r="F305" s="154">
        <v>10.8</v>
      </c>
      <c r="G305" s="153" t="s">
        <v>145</v>
      </c>
      <c r="H305" s="92"/>
      <c r="I305" s="158" t="s">
        <v>874</v>
      </c>
      <c r="J305" s="157"/>
      <c r="L305" s="99" t="s">
        <v>861</v>
      </c>
      <c r="M305">
        <v>500.80000000000013</v>
      </c>
    </row>
    <row r="306" spans="1:13" ht="15.6" x14ac:dyDescent="0.3">
      <c r="A306" s="152" t="s">
        <v>984</v>
      </c>
      <c r="B306" s="152"/>
      <c r="C306" s="153" t="s">
        <v>183</v>
      </c>
      <c r="D306" s="153" t="s">
        <v>861</v>
      </c>
      <c r="E306" s="153" t="s">
        <v>861</v>
      </c>
      <c r="F306" s="154">
        <v>7.2</v>
      </c>
      <c r="G306" s="153" t="s">
        <v>145</v>
      </c>
      <c r="H306" s="92"/>
      <c r="I306" s="158" t="s">
        <v>874</v>
      </c>
      <c r="J306" s="157"/>
      <c r="L306" s="99" t="s">
        <v>881</v>
      </c>
      <c r="M306">
        <v>1050.9000000000001</v>
      </c>
    </row>
    <row r="307" spans="1:13" x14ac:dyDescent="0.3">
      <c r="A307" s="152">
        <v>11</v>
      </c>
      <c r="B307" s="152">
        <v>11</v>
      </c>
      <c r="C307" s="153" t="s">
        <v>181</v>
      </c>
      <c r="D307" s="153" t="s">
        <v>870</v>
      </c>
      <c r="E307" s="153" t="s">
        <v>870</v>
      </c>
      <c r="F307" s="154">
        <v>10.199999999999999</v>
      </c>
      <c r="G307" s="153" t="s">
        <v>145</v>
      </c>
      <c r="H307" s="92"/>
      <c r="I307" s="156" t="s">
        <v>871</v>
      </c>
      <c r="J307" s="157"/>
      <c r="L307" s="99" t="s">
        <v>862</v>
      </c>
      <c r="M307">
        <v>4.05</v>
      </c>
    </row>
    <row r="308" spans="1:13" ht="15.6" x14ac:dyDescent="0.3">
      <c r="A308" s="152">
        <v>12</v>
      </c>
      <c r="B308" s="152">
        <v>12</v>
      </c>
      <c r="C308" s="153" t="s">
        <v>183</v>
      </c>
      <c r="D308" s="153" t="s">
        <v>861</v>
      </c>
      <c r="E308" s="153" t="s">
        <v>861</v>
      </c>
      <c r="F308" s="154">
        <v>33.799999999999997</v>
      </c>
      <c r="G308" s="153" t="s">
        <v>145</v>
      </c>
      <c r="H308" s="92"/>
      <c r="I308" s="158" t="s">
        <v>874</v>
      </c>
      <c r="J308" s="157"/>
      <c r="L308" s="90" t="s">
        <v>122</v>
      </c>
      <c r="M308">
        <v>3099.2500000000005</v>
      </c>
    </row>
    <row r="309" spans="1:13" ht="15.6" x14ac:dyDescent="0.3">
      <c r="A309" s="152" t="s">
        <v>985</v>
      </c>
      <c r="B309" s="152"/>
      <c r="C309" s="153" t="s">
        <v>183</v>
      </c>
      <c r="D309" s="153" t="s">
        <v>861</v>
      </c>
      <c r="E309" s="153" t="s">
        <v>861</v>
      </c>
      <c r="F309" s="154">
        <v>9.6</v>
      </c>
      <c r="G309" s="153" t="s">
        <v>145</v>
      </c>
      <c r="H309" s="92"/>
      <c r="I309" s="158" t="s">
        <v>874</v>
      </c>
      <c r="J309" s="157"/>
    </row>
    <row r="310" spans="1:13" ht="15.6" x14ac:dyDescent="0.3">
      <c r="A310" s="152" t="s">
        <v>986</v>
      </c>
      <c r="B310" s="152"/>
      <c r="C310" s="153" t="s">
        <v>183</v>
      </c>
      <c r="D310" s="153" t="s">
        <v>861</v>
      </c>
      <c r="E310" s="153" t="s">
        <v>861</v>
      </c>
      <c r="F310" s="154">
        <v>6.5</v>
      </c>
      <c r="G310" s="153" t="s">
        <v>145</v>
      </c>
      <c r="H310" s="92"/>
      <c r="I310" s="158" t="s">
        <v>874</v>
      </c>
      <c r="J310" s="157"/>
    </row>
    <row r="311" spans="1:13" x14ac:dyDescent="0.3">
      <c r="A311" s="152">
        <v>13</v>
      </c>
      <c r="B311" s="152">
        <v>13</v>
      </c>
      <c r="C311" s="153" t="s">
        <v>181</v>
      </c>
      <c r="D311" s="153" t="s">
        <v>870</v>
      </c>
      <c r="E311" s="153" t="s">
        <v>870</v>
      </c>
      <c r="F311" s="154">
        <v>10.8</v>
      </c>
      <c r="G311" s="153" t="s">
        <v>145</v>
      </c>
      <c r="H311" s="92"/>
      <c r="I311" s="156" t="s">
        <v>871</v>
      </c>
      <c r="J311" s="157"/>
    </row>
    <row r="312" spans="1:13" ht="15.6" x14ac:dyDescent="0.3">
      <c r="A312" s="152">
        <v>14</v>
      </c>
      <c r="B312" s="152">
        <v>14</v>
      </c>
      <c r="C312" s="153" t="s">
        <v>885</v>
      </c>
      <c r="D312" s="153" t="s">
        <v>881</v>
      </c>
      <c r="E312" s="153" t="s">
        <v>881</v>
      </c>
      <c r="F312" s="154">
        <v>66.2</v>
      </c>
      <c r="G312" s="153" t="s">
        <v>145</v>
      </c>
      <c r="H312" s="92"/>
      <c r="I312" s="158" t="s">
        <v>874</v>
      </c>
      <c r="J312" s="157"/>
    </row>
    <row r="313" spans="1:13" x14ac:dyDescent="0.3">
      <c r="A313" s="152">
        <v>15</v>
      </c>
      <c r="B313" s="152">
        <v>15</v>
      </c>
      <c r="C313" s="153" t="s">
        <v>181</v>
      </c>
      <c r="D313" s="153" t="s">
        <v>870</v>
      </c>
      <c r="E313" s="153" t="s">
        <v>870</v>
      </c>
      <c r="F313" s="154">
        <v>11.2</v>
      </c>
      <c r="G313" s="153" t="s">
        <v>145</v>
      </c>
      <c r="H313" s="92"/>
      <c r="I313" s="156" t="s">
        <v>871</v>
      </c>
      <c r="J313" s="157"/>
    </row>
    <row r="314" spans="1:13" ht="15.6" x14ac:dyDescent="0.3">
      <c r="A314" s="152">
        <v>16</v>
      </c>
      <c r="B314" s="152">
        <v>16</v>
      </c>
      <c r="C314" s="153" t="s">
        <v>183</v>
      </c>
      <c r="D314" s="153" t="s">
        <v>861</v>
      </c>
      <c r="E314" s="153" t="s">
        <v>861</v>
      </c>
      <c r="F314" s="154">
        <v>33</v>
      </c>
      <c r="G314" s="153" t="s">
        <v>145</v>
      </c>
      <c r="H314" s="92"/>
      <c r="I314" s="158" t="s">
        <v>874</v>
      </c>
      <c r="J314" s="157"/>
    </row>
    <row r="315" spans="1:13" x14ac:dyDescent="0.3">
      <c r="A315" s="152">
        <v>17</v>
      </c>
      <c r="B315" s="152">
        <v>17</v>
      </c>
      <c r="C315" s="153" t="s">
        <v>181</v>
      </c>
      <c r="D315" s="153" t="s">
        <v>870</v>
      </c>
      <c r="E315" s="153" t="s">
        <v>870</v>
      </c>
      <c r="F315" s="154">
        <v>11</v>
      </c>
      <c r="G315" s="153" t="s">
        <v>298</v>
      </c>
      <c r="H315" s="92"/>
      <c r="I315" s="156" t="s">
        <v>871</v>
      </c>
      <c r="J315" s="157"/>
    </row>
    <row r="316" spans="1:13" ht="15.6" x14ac:dyDescent="0.3">
      <c r="A316" s="152">
        <v>18</v>
      </c>
      <c r="B316" s="152">
        <v>18</v>
      </c>
      <c r="C316" s="153" t="s">
        <v>191</v>
      </c>
      <c r="D316" s="153" t="s">
        <v>881</v>
      </c>
      <c r="E316" s="153" t="s">
        <v>881</v>
      </c>
      <c r="F316" s="154">
        <v>63.4</v>
      </c>
      <c r="G316" s="153" t="s">
        <v>145</v>
      </c>
      <c r="H316" s="92"/>
      <c r="I316" s="158" t="s">
        <v>874</v>
      </c>
      <c r="J316" s="157"/>
    </row>
    <row r="317" spans="1:13" x14ac:dyDescent="0.3">
      <c r="A317" s="41" t="s">
        <v>987</v>
      </c>
      <c r="B317" s="152"/>
      <c r="C317" s="8" t="s">
        <v>288</v>
      </c>
      <c r="D317" s="8" t="s">
        <v>860</v>
      </c>
      <c r="E317" s="8" t="s">
        <v>860</v>
      </c>
      <c r="F317" s="154">
        <v>2.2000000000000002</v>
      </c>
      <c r="G317" s="8" t="s">
        <v>145</v>
      </c>
      <c r="H317" s="92"/>
      <c r="I317" s="160" t="s">
        <v>875</v>
      </c>
      <c r="J317" s="157" t="s">
        <v>890</v>
      </c>
    </row>
    <row r="318" spans="1:13" x14ac:dyDescent="0.3">
      <c r="A318" s="152">
        <v>19</v>
      </c>
      <c r="B318" s="152">
        <v>19</v>
      </c>
      <c r="C318" s="153" t="s">
        <v>181</v>
      </c>
      <c r="D318" s="153" t="s">
        <v>870</v>
      </c>
      <c r="E318" s="153" t="s">
        <v>870</v>
      </c>
      <c r="F318" s="154">
        <v>11.1</v>
      </c>
      <c r="G318" s="153" t="s">
        <v>145</v>
      </c>
      <c r="H318" s="92"/>
      <c r="I318" s="156" t="s">
        <v>871</v>
      </c>
      <c r="J318" s="157"/>
    </row>
    <row r="319" spans="1:13" ht="15.6" x14ac:dyDescent="0.3">
      <c r="A319" s="152">
        <v>20</v>
      </c>
      <c r="B319" s="41" t="s">
        <v>329</v>
      </c>
      <c r="C319" s="153" t="s">
        <v>988</v>
      </c>
      <c r="D319" s="153" t="s">
        <v>881</v>
      </c>
      <c r="E319" s="153" t="s">
        <v>881</v>
      </c>
      <c r="F319" s="154">
        <v>32.799999999999997</v>
      </c>
      <c r="G319" s="153" t="s">
        <v>145</v>
      </c>
      <c r="H319" s="92"/>
      <c r="I319" s="158" t="s">
        <v>874</v>
      </c>
      <c r="J319" s="157"/>
    </row>
    <row r="320" spans="1:13" x14ac:dyDescent="0.3">
      <c r="A320" s="152">
        <v>21</v>
      </c>
      <c r="B320" s="152">
        <v>21</v>
      </c>
      <c r="C320" s="153" t="s">
        <v>181</v>
      </c>
      <c r="D320" s="153" t="s">
        <v>870</v>
      </c>
      <c r="E320" s="153" t="s">
        <v>870</v>
      </c>
      <c r="F320" s="154">
        <v>10.8</v>
      </c>
      <c r="G320" s="153" t="s">
        <v>145</v>
      </c>
      <c r="H320" s="92"/>
      <c r="I320" s="156" t="s">
        <v>871</v>
      </c>
      <c r="J320" s="157"/>
    </row>
    <row r="321" spans="1:10" ht="15.6" x14ac:dyDescent="0.3">
      <c r="A321" s="152">
        <v>22</v>
      </c>
      <c r="B321" s="152">
        <v>22</v>
      </c>
      <c r="C321" s="153" t="s">
        <v>303</v>
      </c>
      <c r="D321" s="153" t="s">
        <v>881</v>
      </c>
      <c r="E321" s="153" t="s">
        <v>881</v>
      </c>
      <c r="F321" s="154">
        <v>55.6</v>
      </c>
      <c r="G321" s="153" t="s">
        <v>298</v>
      </c>
      <c r="H321" s="92"/>
      <c r="I321" s="158" t="s">
        <v>874</v>
      </c>
      <c r="J321" s="157"/>
    </row>
    <row r="322" spans="1:10" x14ac:dyDescent="0.3">
      <c r="A322" s="152" t="s">
        <v>989</v>
      </c>
      <c r="B322" s="152" t="s">
        <v>989</v>
      </c>
      <c r="C322" s="153" t="s">
        <v>313</v>
      </c>
      <c r="D322" s="153" t="s">
        <v>870</v>
      </c>
      <c r="E322" s="153" t="s">
        <v>870</v>
      </c>
      <c r="F322" s="154">
        <v>12.9</v>
      </c>
      <c r="G322" s="153" t="s">
        <v>284</v>
      </c>
      <c r="H322" s="92"/>
      <c r="I322" s="156" t="s">
        <v>871</v>
      </c>
      <c r="J322" s="157"/>
    </row>
    <row r="323" spans="1:10" x14ac:dyDescent="0.3">
      <c r="A323" s="152">
        <v>23</v>
      </c>
      <c r="B323" s="152">
        <v>23</v>
      </c>
      <c r="C323" s="153" t="s">
        <v>181</v>
      </c>
      <c r="D323" s="153" t="s">
        <v>870</v>
      </c>
      <c r="E323" s="153" t="s">
        <v>870</v>
      </c>
      <c r="F323" s="154">
        <v>12.2</v>
      </c>
      <c r="G323" s="153" t="s">
        <v>145</v>
      </c>
      <c r="H323" s="92"/>
      <c r="I323" s="156" t="s">
        <v>871</v>
      </c>
      <c r="J323" s="157"/>
    </row>
    <row r="324" spans="1:10" ht="15.6" x14ac:dyDescent="0.3">
      <c r="A324" s="152">
        <v>25</v>
      </c>
      <c r="B324" s="152">
        <v>25</v>
      </c>
      <c r="C324" s="153" t="s">
        <v>183</v>
      </c>
      <c r="D324" s="153" t="s">
        <v>861</v>
      </c>
      <c r="E324" s="153" t="s">
        <v>861</v>
      </c>
      <c r="F324" s="154">
        <v>11.2</v>
      </c>
      <c r="G324" s="153" t="s">
        <v>230</v>
      </c>
      <c r="H324" s="92"/>
      <c r="I324" s="158" t="s">
        <v>874</v>
      </c>
      <c r="J324" s="157"/>
    </row>
    <row r="325" spans="1:10" ht="15.6" x14ac:dyDescent="0.3">
      <c r="A325" s="152" t="s">
        <v>990</v>
      </c>
      <c r="B325" s="152" t="s">
        <v>990</v>
      </c>
      <c r="C325" s="153" t="s">
        <v>183</v>
      </c>
      <c r="D325" s="153" t="s">
        <v>861</v>
      </c>
      <c r="E325" s="153" t="s">
        <v>861</v>
      </c>
      <c r="F325" s="154">
        <v>11.1</v>
      </c>
      <c r="G325" s="153" t="s">
        <v>230</v>
      </c>
      <c r="H325" s="92"/>
      <c r="I325" s="158" t="s">
        <v>874</v>
      </c>
      <c r="J325" s="157"/>
    </row>
    <row r="326" spans="1:10" x14ac:dyDescent="0.3">
      <c r="A326" s="152">
        <v>27</v>
      </c>
      <c r="B326" s="152">
        <v>27</v>
      </c>
      <c r="C326" s="153" t="s">
        <v>181</v>
      </c>
      <c r="D326" s="153" t="s">
        <v>870</v>
      </c>
      <c r="E326" s="153" t="s">
        <v>870</v>
      </c>
      <c r="F326" s="154">
        <v>22.7</v>
      </c>
      <c r="G326" s="153" t="s">
        <v>145</v>
      </c>
      <c r="H326" s="92"/>
      <c r="I326" s="156" t="s">
        <v>871</v>
      </c>
      <c r="J326" s="157"/>
    </row>
    <row r="327" spans="1:10" ht="15.6" x14ac:dyDescent="0.3">
      <c r="A327" s="152">
        <v>28</v>
      </c>
      <c r="B327" s="152">
        <v>28</v>
      </c>
      <c r="C327" s="153" t="s">
        <v>885</v>
      </c>
      <c r="D327" s="153" t="s">
        <v>881</v>
      </c>
      <c r="E327" s="153" t="s">
        <v>881</v>
      </c>
      <c r="F327" s="154">
        <v>67.599999999999994</v>
      </c>
      <c r="G327" s="153" t="s">
        <v>145</v>
      </c>
      <c r="H327" s="92"/>
      <c r="I327" s="158" t="s">
        <v>874</v>
      </c>
      <c r="J327" s="157"/>
    </row>
    <row r="328" spans="1:10" x14ac:dyDescent="0.3">
      <c r="A328" s="152">
        <v>29</v>
      </c>
      <c r="B328" s="152">
        <v>29</v>
      </c>
      <c r="C328" s="153" t="s">
        <v>181</v>
      </c>
      <c r="D328" s="153" t="s">
        <v>870</v>
      </c>
      <c r="E328" s="153" t="s">
        <v>870</v>
      </c>
      <c r="F328" s="154">
        <v>11.1</v>
      </c>
      <c r="G328" s="153" t="s">
        <v>298</v>
      </c>
      <c r="H328" s="92"/>
      <c r="I328" s="156" t="s">
        <v>871</v>
      </c>
      <c r="J328" s="157"/>
    </row>
    <row r="329" spans="1:10" ht="15.6" x14ac:dyDescent="0.3">
      <c r="A329" s="61">
        <v>30</v>
      </c>
      <c r="B329" s="61">
        <v>30</v>
      </c>
      <c r="C329" s="49" t="s">
        <v>183</v>
      </c>
      <c r="D329" s="49" t="s">
        <v>861</v>
      </c>
      <c r="E329" s="49" t="s">
        <v>861</v>
      </c>
      <c r="F329" s="48">
        <v>16.600000000000001</v>
      </c>
      <c r="G329" s="49" t="s">
        <v>145</v>
      </c>
      <c r="H329" s="92"/>
      <c r="I329" s="158" t="s">
        <v>874</v>
      </c>
      <c r="J329" s="157"/>
    </row>
    <row r="330" spans="1:10" ht="15.6" x14ac:dyDescent="0.3">
      <c r="A330" s="152" t="s">
        <v>991</v>
      </c>
      <c r="B330" s="152" t="s">
        <v>991</v>
      </c>
      <c r="C330" s="153" t="s">
        <v>183</v>
      </c>
      <c r="D330" s="153" t="s">
        <v>861</v>
      </c>
      <c r="E330" s="153" t="s">
        <v>861</v>
      </c>
      <c r="F330" s="154">
        <v>16.600000000000001</v>
      </c>
      <c r="G330" s="153" t="s">
        <v>145</v>
      </c>
      <c r="H330" s="92"/>
      <c r="I330" s="158" t="s">
        <v>874</v>
      </c>
      <c r="J330" s="157"/>
    </row>
    <row r="331" spans="1:10" x14ac:dyDescent="0.3">
      <c r="A331" s="152">
        <v>31</v>
      </c>
      <c r="B331" s="152">
        <v>31</v>
      </c>
      <c r="C331" s="153" t="s">
        <v>181</v>
      </c>
      <c r="D331" s="153" t="s">
        <v>870</v>
      </c>
      <c r="E331" s="153" t="s">
        <v>870</v>
      </c>
      <c r="F331" s="154">
        <v>11.2</v>
      </c>
      <c r="G331" s="153" t="s">
        <v>145</v>
      </c>
      <c r="H331" s="92"/>
      <c r="I331" s="156" t="s">
        <v>871</v>
      </c>
      <c r="J331" s="157"/>
    </row>
    <row r="332" spans="1:10" ht="15.6" x14ac:dyDescent="0.3">
      <c r="A332" s="152">
        <v>32</v>
      </c>
      <c r="B332" s="152">
        <v>32</v>
      </c>
      <c r="C332" s="153" t="s">
        <v>209</v>
      </c>
      <c r="D332" s="153" t="s">
        <v>861</v>
      </c>
      <c r="E332" s="153" t="s">
        <v>861</v>
      </c>
      <c r="F332" s="154">
        <v>4.5999999999999996</v>
      </c>
      <c r="G332" s="153" t="s">
        <v>145</v>
      </c>
      <c r="H332" s="92"/>
      <c r="I332" s="158" t="s">
        <v>874</v>
      </c>
      <c r="J332" s="157"/>
    </row>
    <row r="333" spans="1:10" ht="15.6" x14ac:dyDescent="0.3">
      <c r="A333" s="152" t="s">
        <v>992</v>
      </c>
      <c r="B333" s="152" t="s">
        <v>992</v>
      </c>
      <c r="C333" s="153" t="s">
        <v>183</v>
      </c>
      <c r="D333" s="153" t="s">
        <v>861</v>
      </c>
      <c r="E333" s="153" t="s">
        <v>861</v>
      </c>
      <c r="F333" s="154">
        <v>13.7</v>
      </c>
      <c r="G333" s="153" t="s">
        <v>145</v>
      </c>
      <c r="H333" s="92"/>
      <c r="I333" s="158" t="s">
        <v>874</v>
      </c>
      <c r="J333" s="157"/>
    </row>
    <row r="334" spans="1:10" ht="15.6" x14ac:dyDescent="0.3">
      <c r="A334" s="152" t="s">
        <v>993</v>
      </c>
      <c r="B334" s="152" t="s">
        <v>993</v>
      </c>
      <c r="C334" s="153" t="s">
        <v>183</v>
      </c>
      <c r="D334" s="153" t="s">
        <v>861</v>
      </c>
      <c r="E334" s="153" t="s">
        <v>861</v>
      </c>
      <c r="F334" s="154">
        <v>13.9</v>
      </c>
      <c r="G334" s="153" t="s">
        <v>145</v>
      </c>
      <c r="H334" s="92"/>
      <c r="I334" s="158" t="s">
        <v>874</v>
      </c>
      <c r="J334" s="157"/>
    </row>
    <row r="335" spans="1:10" ht="15.6" x14ac:dyDescent="0.3">
      <c r="A335" s="152">
        <v>33</v>
      </c>
      <c r="B335" s="152">
        <v>33</v>
      </c>
      <c r="C335" s="153" t="s">
        <v>455</v>
      </c>
      <c r="D335" s="153" t="s">
        <v>881</v>
      </c>
      <c r="E335" s="153" t="s">
        <v>881</v>
      </c>
      <c r="F335" s="154">
        <v>22.9</v>
      </c>
      <c r="G335" s="153" t="s">
        <v>145</v>
      </c>
      <c r="H335" s="92"/>
      <c r="I335" s="158" t="s">
        <v>874</v>
      </c>
      <c r="J335" s="157"/>
    </row>
    <row r="336" spans="1:10" ht="15.6" x14ac:dyDescent="0.3">
      <c r="A336" s="152">
        <v>34</v>
      </c>
      <c r="B336" s="152">
        <v>34</v>
      </c>
      <c r="C336" s="153" t="s">
        <v>183</v>
      </c>
      <c r="D336" s="153" t="s">
        <v>861</v>
      </c>
      <c r="E336" s="153" t="s">
        <v>861</v>
      </c>
      <c r="F336" s="154">
        <v>10.199999999999999</v>
      </c>
      <c r="G336" s="153" t="s">
        <v>145</v>
      </c>
      <c r="H336" s="92"/>
      <c r="I336" s="158" t="s">
        <v>874</v>
      </c>
      <c r="J336" s="157"/>
    </row>
    <row r="337" spans="1:10" ht="15.6" x14ac:dyDescent="0.3">
      <c r="A337" s="152" t="s">
        <v>994</v>
      </c>
      <c r="B337" s="152" t="s">
        <v>994</v>
      </c>
      <c r="C337" s="153" t="s">
        <v>183</v>
      </c>
      <c r="D337" s="153" t="s">
        <v>861</v>
      </c>
      <c r="E337" s="153" t="s">
        <v>861</v>
      </c>
      <c r="F337" s="154">
        <v>6.5</v>
      </c>
      <c r="G337" s="153" t="s">
        <v>145</v>
      </c>
      <c r="H337" s="92"/>
      <c r="I337" s="158" t="s">
        <v>874</v>
      </c>
      <c r="J337" s="157"/>
    </row>
    <row r="338" spans="1:10" ht="15.6" x14ac:dyDescent="0.3">
      <c r="A338" s="152" t="s">
        <v>995</v>
      </c>
      <c r="B338" s="152" t="s">
        <v>995</v>
      </c>
      <c r="C338" s="153" t="s">
        <v>183</v>
      </c>
      <c r="D338" s="153" t="s">
        <v>861</v>
      </c>
      <c r="E338" s="153" t="s">
        <v>861</v>
      </c>
      <c r="F338" s="154">
        <v>14.1</v>
      </c>
      <c r="G338" s="153" t="s">
        <v>145</v>
      </c>
      <c r="H338" s="92"/>
      <c r="I338" s="158" t="s">
        <v>874</v>
      </c>
      <c r="J338" s="157"/>
    </row>
    <row r="339" spans="1:10" ht="15.6" x14ac:dyDescent="0.3">
      <c r="A339" s="152" t="s">
        <v>996</v>
      </c>
      <c r="B339" s="152" t="s">
        <v>996</v>
      </c>
      <c r="C339" s="153" t="s">
        <v>997</v>
      </c>
      <c r="D339" s="156" t="s">
        <v>859</v>
      </c>
      <c r="E339" s="156" t="s">
        <v>859</v>
      </c>
      <c r="F339" s="154">
        <v>1.9</v>
      </c>
      <c r="G339" s="153" t="s">
        <v>145</v>
      </c>
      <c r="H339" s="92"/>
      <c r="I339" s="158" t="s">
        <v>874</v>
      </c>
      <c r="J339" s="157"/>
    </row>
    <row r="340" spans="1:10" x14ac:dyDescent="0.3">
      <c r="A340" s="152">
        <v>35</v>
      </c>
      <c r="B340" s="152">
        <v>35</v>
      </c>
      <c r="C340" s="153" t="s">
        <v>181</v>
      </c>
      <c r="D340" s="153" t="s">
        <v>870</v>
      </c>
      <c r="E340" s="153" t="s">
        <v>870</v>
      </c>
      <c r="F340" s="154">
        <v>12.5</v>
      </c>
      <c r="G340" s="153" t="s">
        <v>298</v>
      </c>
      <c r="H340" s="92"/>
      <c r="I340" s="156" t="s">
        <v>871</v>
      </c>
      <c r="J340" s="157"/>
    </row>
    <row r="341" spans="1:10" x14ac:dyDescent="0.3">
      <c r="A341" s="152" t="s">
        <v>998</v>
      </c>
      <c r="B341" s="152" t="s">
        <v>998</v>
      </c>
      <c r="C341" s="153" t="s">
        <v>181</v>
      </c>
      <c r="D341" s="153" t="s">
        <v>870</v>
      </c>
      <c r="E341" s="153" t="s">
        <v>870</v>
      </c>
      <c r="F341" s="154">
        <v>11</v>
      </c>
      <c r="G341" s="153" t="s">
        <v>145</v>
      </c>
      <c r="H341" s="92"/>
      <c r="I341" s="156" t="s">
        <v>871</v>
      </c>
      <c r="J341" s="157"/>
    </row>
    <row r="342" spans="1:10" x14ac:dyDescent="0.3">
      <c r="A342" s="152">
        <v>37</v>
      </c>
      <c r="B342" s="152">
        <v>37</v>
      </c>
      <c r="C342" s="153" t="s">
        <v>181</v>
      </c>
      <c r="D342" s="153" t="s">
        <v>870</v>
      </c>
      <c r="E342" s="153" t="s">
        <v>870</v>
      </c>
      <c r="F342" s="154">
        <v>21.9</v>
      </c>
      <c r="G342" s="153" t="s">
        <v>298</v>
      </c>
      <c r="H342" s="92"/>
      <c r="I342" s="156" t="s">
        <v>871</v>
      </c>
      <c r="J342" s="157"/>
    </row>
    <row r="343" spans="1:10" x14ac:dyDescent="0.3">
      <c r="A343" s="152">
        <v>39</v>
      </c>
      <c r="B343" s="152">
        <v>39</v>
      </c>
      <c r="C343" s="153" t="s">
        <v>181</v>
      </c>
      <c r="D343" s="153" t="s">
        <v>870</v>
      </c>
      <c r="E343" s="153" t="s">
        <v>870</v>
      </c>
      <c r="F343" s="154">
        <v>10.3</v>
      </c>
      <c r="G343" s="153" t="s">
        <v>145</v>
      </c>
      <c r="H343" s="92"/>
      <c r="I343" s="156" t="s">
        <v>871</v>
      </c>
      <c r="J343" s="157"/>
    </row>
    <row r="344" spans="1:10" x14ac:dyDescent="0.3">
      <c r="A344" s="152">
        <v>41</v>
      </c>
      <c r="B344" s="152">
        <v>41</v>
      </c>
      <c r="C344" s="153" t="s">
        <v>181</v>
      </c>
      <c r="D344" s="153" t="s">
        <v>870</v>
      </c>
      <c r="E344" s="153" t="s">
        <v>870</v>
      </c>
      <c r="F344" s="154">
        <v>10.3</v>
      </c>
      <c r="G344" s="153" t="s">
        <v>145</v>
      </c>
      <c r="H344" s="92"/>
      <c r="I344" s="156" t="s">
        <v>871</v>
      </c>
      <c r="J344" s="157"/>
    </row>
    <row r="345" spans="1:10" x14ac:dyDescent="0.3">
      <c r="A345" s="152">
        <v>43</v>
      </c>
      <c r="B345" s="152">
        <v>43</v>
      </c>
      <c r="C345" s="153" t="s">
        <v>181</v>
      </c>
      <c r="D345" s="153" t="s">
        <v>870</v>
      </c>
      <c r="E345" s="153" t="s">
        <v>870</v>
      </c>
      <c r="F345" s="154">
        <v>10.5</v>
      </c>
      <c r="G345" s="153" t="s">
        <v>145</v>
      </c>
      <c r="H345" s="92"/>
      <c r="I345" s="156" t="s">
        <v>871</v>
      </c>
      <c r="J345" s="157"/>
    </row>
    <row r="346" spans="1:10" x14ac:dyDescent="0.3">
      <c r="A346" s="152">
        <v>45</v>
      </c>
      <c r="B346" s="152">
        <v>45</v>
      </c>
      <c r="C346" s="153" t="s">
        <v>181</v>
      </c>
      <c r="D346" s="153" t="s">
        <v>870</v>
      </c>
      <c r="E346" s="153" t="s">
        <v>870</v>
      </c>
      <c r="F346" s="154">
        <v>10.5</v>
      </c>
      <c r="G346" s="153" t="s">
        <v>145</v>
      </c>
      <c r="H346" s="92"/>
      <c r="I346" s="156" t="s">
        <v>871</v>
      </c>
      <c r="J346" s="157"/>
    </row>
    <row r="347" spans="1:10" x14ac:dyDescent="0.3">
      <c r="A347" s="152">
        <v>47</v>
      </c>
      <c r="B347" s="152">
        <v>47</v>
      </c>
      <c r="C347" s="153" t="s">
        <v>181</v>
      </c>
      <c r="D347" s="153" t="s">
        <v>870</v>
      </c>
      <c r="E347" s="153" t="s">
        <v>870</v>
      </c>
      <c r="F347" s="154">
        <v>10.199999999999999</v>
      </c>
      <c r="G347" s="153" t="s">
        <v>145</v>
      </c>
      <c r="H347" s="92"/>
      <c r="I347" s="156" t="s">
        <v>871</v>
      </c>
      <c r="J347" s="157"/>
    </row>
    <row r="348" spans="1:10" x14ac:dyDescent="0.3">
      <c r="A348" s="152">
        <v>49</v>
      </c>
      <c r="B348" s="152">
        <v>49</v>
      </c>
      <c r="C348" s="153" t="s">
        <v>181</v>
      </c>
      <c r="D348" s="153" t="s">
        <v>870</v>
      </c>
      <c r="E348" s="153" t="s">
        <v>870</v>
      </c>
      <c r="F348" s="154">
        <v>11.3</v>
      </c>
      <c r="G348" s="153" t="s">
        <v>145</v>
      </c>
      <c r="H348" s="92"/>
      <c r="I348" s="156" t="s">
        <v>871</v>
      </c>
      <c r="J348" s="157"/>
    </row>
    <row r="349" spans="1:10" x14ac:dyDescent="0.3">
      <c r="A349" s="152">
        <v>51</v>
      </c>
      <c r="B349" s="152">
        <v>51</v>
      </c>
      <c r="C349" s="153" t="s">
        <v>181</v>
      </c>
      <c r="D349" s="153" t="s">
        <v>870</v>
      </c>
      <c r="E349" s="153" t="s">
        <v>870</v>
      </c>
      <c r="F349" s="154">
        <v>11.2</v>
      </c>
      <c r="G349" s="153" t="s">
        <v>145</v>
      </c>
      <c r="H349" s="92"/>
      <c r="I349" s="156" t="s">
        <v>871</v>
      </c>
      <c r="J349" s="157"/>
    </row>
    <row r="350" spans="1:10" x14ac:dyDescent="0.3">
      <c r="A350" s="152">
        <v>53</v>
      </c>
      <c r="B350" s="152">
        <v>53</v>
      </c>
      <c r="C350" s="153" t="s">
        <v>181</v>
      </c>
      <c r="D350" s="153" t="s">
        <v>870</v>
      </c>
      <c r="E350" s="153" t="s">
        <v>870</v>
      </c>
      <c r="F350" s="154">
        <v>10.8</v>
      </c>
      <c r="G350" s="153" t="s">
        <v>145</v>
      </c>
      <c r="H350" s="92"/>
      <c r="I350" s="156" t="s">
        <v>871</v>
      </c>
      <c r="J350" s="157"/>
    </row>
    <row r="351" spans="1:10" ht="15.6" x14ac:dyDescent="0.3">
      <c r="A351" s="152">
        <v>54</v>
      </c>
      <c r="B351" s="152"/>
      <c r="C351" s="153" t="s">
        <v>999</v>
      </c>
      <c r="D351" s="153" t="s">
        <v>870</v>
      </c>
      <c r="E351" s="153" t="s">
        <v>870</v>
      </c>
      <c r="F351" s="154">
        <v>23.7</v>
      </c>
      <c r="G351" s="153" t="s">
        <v>284</v>
      </c>
      <c r="H351" s="92"/>
      <c r="I351" s="158" t="s">
        <v>874</v>
      </c>
      <c r="J351" s="157"/>
    </row>
    <row r="352" spans="1:10" ht="15.6" x14ac:dyDescent="0.3">
      <c r="A352" s="152">
        <v>55</v>
      </c>
      <c r="B352" s="152"/>
      <c r="C352" s="153" t="s">
        <v>176</v>
      </c>
      <c r="D352" s="156" t="s">
        <v>859</v>
      </c>
      <c r="E352" s="156" t="s">
        <v>859</v>
      </c>
      <c r="F352" s="154">
        <v>8.9</v>
      </c>
      <c r="G352" s="153" t="s">
        <v>284</v>
      </c>
      <c r="H352" s="92"/>
      <c r="I352" s="158" t="s">
        <v>874</v>
      </c>
      <c r="J352" s="157"/>
    </row>
    <row r="353" spans="1:10" ht="15.6" x14ac:dyDescent="0.3">
      <c r="A353" s="152">
        <v>56</v>
      </c>
      <c r="B353" s="152"/>
      <c r="C353" s="153" t="s">
        <v>176</v>
      </c>
      <c r="D353" s="156" t="s">
        <v>859</v>
      </c>
      <c r="E353" s="156" t="s">
        <v>859</v>
      </c>
      <c r="F353" s="154">
        <v>8.8000000000000007</v>
      </c>
      <c r="G353" s="153" t="s">
        <v>284</v>
      </c>
      <c r="H353" s="92"/>
      <c r="I353" s="158" t="s">
        <v>874</v>
      </c>
      <c r="J353" s="157"/>
    </row>
    <row r="354" spans="1:10" x14ac:dyDescent="0.3">
      <c r="A354" s="152">
        <v>57</v>
      </c>
      <c r="B354" s="152"/>
      <c r="C354" s="153" t="s">
        <v>1000</v>
      </c>
      <c r="D354" s="153" t="s">
        <v>860</v>
      </c>
      <c r="E354" s="153" t="s">
        <v>860</v>
      </c>
      <c r="F354" s="154">
        <v>1.6</v>
      </c>
      <c r="G354" s="153"/>
      <c r="H354" s="92"/>
      <c r="I354" s="160" t="s">
        <v>875</v>
      </c>
      <c r="J354" s="157" t="s">
        <v>890</v>
      </c>
    </row>
    <row r="355" spans="1:10" ht="15.6" x14ac:dyDescent="0.3">
      <c r="A355" s="152">
        <v>58</v>
      </c>
      <c r="B355" s="152"/>
      <c r="C355" s="153" t="s">
        <v>176</v>
      </c>
      <c r="D355" s="156" t="s">
        <v>859</v>
      </c>
      <c r="E355" s="156" t="s">
        <v>859</v>
      </c>
      <c r="F355" s="154">
        <v>14.5</v>
      </c>
      <c r="G355" s="153" t="s">
        <v>284</v>
      </c>
      <c r="H355" s="92"/>
      <c r="I355" s="158" t="s">
        <v>874</v>
      </c>
      <c r="J355" s="157"/>
    </row>
    <row r="356" spans="1:10" ht="15.6" x14ac:dyDescent="0.3">
      <c r="A356" s="152">
        <v>59</v>
      </c>
      <c r="B356" s="152"/>
      <c r="C356" s="153" t="s">
        <v>176</v>
      </c>
      <c r="D356" s="156" t="s">
        <v>859</v>
      </c>
      <c r="E356" s="156" t="s">
        <v>859</v>
      </c>
      <c r="F356" s="154">
        <v>14.7</v>
      </c>
      <c r="G356" s="153" t="s">
        <v>284</v>
      </c>
      <c r="H356" s="92"/>
      <c r="I356" s="158" t="s">
        <v>874</v>
      </c>
      <c r="J356" s="157"/>
    </row>
    <row r="357" spans="1:10" x14ac:dyDescent="0.3">
      <c r="A357" s="152">
        <v>60</v>
      </c>
      <c r="B357" s="152"/>
      <c r="C357" s="153" t="s">
        <v>1000</v>
      </c>
      <c r="D357" s="153" t="s">
        <v>860</v>
      </c>
      <c r="E357" s="153" t="s">
        <v>860</v>
      </c>
      <c r="F357" s="154">
        <v>1.5</v>
      </c>
      <c r="G357" s="153"/>
      <c r="H357" s="92"/>
      <c r="I357" s="160" t="s">
        <v>875</v>
      </c>
      <c r="J357" s="157" t="s">
        <v>890</v>
      </c>
    </row>
    <row r="358" spans="1:10" ht="15.6" x14ac:dyDescent="0.3">
      <c r="A358" s="41" t="s">
        <v>1001</v>
      </c>
      <c r="B358" s="41" t="s">
        <v>1001</v>
      </c>
      <c r="C358" s="153" t="s">
        <v>316</v>
      </c>
      <c r="D358" s="153" t="s">
        <v>881</v>
      </c>
      <c r="E358" s="153" t="s">
        <v>881</v>
      </c>
      <c r="F358" s="154">
        <v>139.5</v>
      </c>
      <c r="G358" s="153" t="s">
        <v>145</v>
      </c>
      <c r="H358" s="92"/>
      <c r="I358" s="158" t="s">
        <v>874</v>
      </c>
      <c r="J358" s="157"/>
    </row>
    <row r="359" spans="1:10" ht="15.6" x14ac:dyDescent="0.3">
      <c r="A359" s="41" t="s">
        <v>1002</v>
      </c>
      <c r="B359" s="41" t="s">
        <v>1002</v>
      </c>
      <c r="C359" s="153" t="s">
        <v>316</v>
      </c>
      <c r="D359" s="153" t="s">
        <v>881</v>
      </c>
      <c r="E359" s="153" t="s">
        <v>881</v>
      </c>
      <c r="F359" s="154">
        <v>139.5</v>
      </c>
      <c r="G359" s="153" t="s">
        <v>145</v>
      </c>
      <c r="H359" s="92"/>
      <c r="I359" s="158" t="s">
        <v>874</v>
      </c>
      <c r="J359" s="157"/>
    </row>
    <row r="360" spans="1:10" ht="15.6" x14ac:dyDescent="0.3">
      <c r="A360" s="41" t="s">
        <v>1003</v>
      </c>
      <c r="B360" s="41" t="s">
        <v>1003</v>
      </c>
      <c r="C360" s="153" t="s">
        <v>316</v>
      </c>
      <c r="D360" s="153" t="s">
        <v>881</v>
      </c>
      <c r="E360" s="153" t="s">
        <v>881</v>
      </c>
      <c r="F360" s="154">
        <v>139.5</v>
      </c>
      <c r="G360" s="153" t="s">
        <v>145</v>
      </c>
      <c r="H360" s="92"/>
      <c r="I360" s="158" t="s">
        <v>874</v>
      </c>
      <c r="J360" s="157"/>
    </row>
    <row r="361" spans="1:10" ht="15.6" x14ac:dyDescent="0.3">
      <c r="A361" s="41" t="s">
        <v>1004</v>
      </c>
      <c r="B361" s="41" t="s">
        <v>1004</v>
      </c>
      <c r="C361" s="153" t="s">
        <v>316</v>
      </c>
      <c r="D361" s="153" t="s">
        <v>881</v>
      </c>
      <c r="E361" s="153" t="s">
        <v>881</v>
      </c>
      <c r="F361" s="154">
        <v>139.5</v>
      </c>
      <c r="G361" s="153" t="s">
        <v>145</v>
      </c>
      <c r="H361" s="92"/>
      <c r="I361" s="158" t="s">
        <v>874</v>
      </c>
      <c r="J361" s="157"/>
    </row>
    <row r="362" spans="1:10" x14ac:dyDescent="0.3">
      <c r="A362" s="61">
        <v>65</v>
      </c>
      <c r="B362" s="61"/>
      <c r="C362" s="49" t="s">
        <v>1005</v>
      </c>
      <c r="D362" s="49" t="s">
        <v>860</v>
      </c>
      <c r="E362" s="49" t="s">
        <v>860</v>
      </c>
      <c r="F362" s="48">
        <v>17.2</v>
      </c>
      <c r="G362" s="49" t="s">
        <v>1006</v>
      </c>
      <c r="H362" s="92"/>
      <c r="I362" s="160" t="s">
        <v>875</v>
      </c>
      <c r="J362" s="157" t="s">
        <v>890</v>
      </c>
    </row>
    <row r="363" spans="1:10" x14ac:dyDescent="0.3">
      <c r="A363" s="152">
        <v>66</v>
      </c>
      <c r="B363" s="152"/>
      <c r="C363" s="153" t="s">
        <v>97</v>
      </c>
      <c r="D363" s="153" t="s">
        <v>860</v>
      </c>
      <c r="E363" s="153" t="s">
        <v>860</v>
      </c>
      <c r="F363" s="154">
        <v>30.8</v>
      </c>
      <c r="G363" s="153" t="s">
        <v>120</v>
      </c>
      <c r="H363" s="92"/>
      <c r="I363" s="160" t="s">
        <v>875</v>
      </c>
      <c r="J363" s="157" t="s">
        <v>890</v>
      </c>
    </row>
    <row r="364" spans="1:10" x14ac:dyDescent="0.3">
      <c r="A364" s="152">
        <v>67</v>
      </c>
      <c r="B364" s="152"/>
      <c r="C364" s="153" t="s">
        <v>1007</v>
      </c>
      <c r="D364" s="153" t="s">
        <v>860</v>
      </c>
      <c r="E364" s="153" t="s">
        <v>860</v>
      </c>
      <c r="F364" s="154">
        <v>22.8</v>
      </c>
      <c r="G364" s="153" t="s">
        <v>120</v>
      </c>
      <c r="H364" s="92"/>
      <c r="I364" s="160" t="s">
        <v>875</v>
      </c>
      <c r="J364" s="157" t="s">
        <v>890</v>
      </c>
    </row>
    <row r="365" spans="1:10" x14ac:dyDescent="0.3">
      <c r="A365" s="152">
        <v>68</v>
      </c>
      <c r="B365" s="152"/>
      <c r="C365" s="153" t="s">
        <v>1008</v>
      </c>
      <c r="D365" s="153" t="s">
        <v>860</v>
      </c>
      <c r="E365" s="153" t="s">
        <v>860</v>
      </c>
      <c r="F365" s="154">
        <v>14.1</v>
      </c>
      <c r="G365" s="153"/>
      <c r="H365" s="92"/>
      <c r="I365" s="160" t="s">
        <v>875</v>
      </c>
      <c r="J365" s="157" t="s">
        <v>890</v>
      </c>
    </row>
    <row r="366" spans="1:10" ht="15.6" x14ac:dyDescent="0.3">
      <c r="A366" s="152">
        <v>69</v>
      </c>
      <c r="B366" s="152"/>
      <c r="C366" s="153" t="s">
        <v>176</v>
      </c>
      <c r="D366" s="156" t="s">
        <v>859</v>
      </c>
      <c r="E366" s="156" t="s">
        <v>859</v>
      </c>
      <c r="F366" s="154">
        <v>20.399999999999999</v>
      </c>
      <c r="G366" s="153" t="s">
        <v>284</v>
      </c>
      <c r="H366" s="92"/>
      <c r="I366" s="158" t="s">
        <v>874</v>
      </c>
      <c r="J366" s="157"/>
    </row>
    <row r="367" spans="1:10" x14ac:dyDescent="0.3">
      <c r="A367" s="152">
        <v>70</v>
      </c>
      <c r="B367" s="152"/>
      <c r="C367" s="153" t="s">
        <v>97</v>
      </c>
      <c r="D367" s="153" t="s">
        <v>860</v>
      </c>
      <c r="E367" s="153" t="s">
        <v>860</v>
      </c>
      <c r="F367" s="154">
        <v>31</v>
      </c>
      <c r="G367" s="153" t="s">
        <v>120</v>
      </c>
      <c r="H367" s="92"/>
      <c r="I367" s="160" t="s">
        <v>875</v>
      </c>
      <c r="J367" s="157" t="s">
        <v>890</v>
      </c>
    </row>
    <row r="368" spans="1:10" x14ac:dyDescent="0.3">
      <c r="A368" s="152">
        <v>71</v>
      </c>
      <c r="B368" s="152"/>
      <c r="C368" s="153" t="s">
        <v>1007</v>
      </c>
      <c r="D368" s="153" t="s">
        <v>860</v>
      </c>
      <c r="E368" s="153" t="s">
        <v>860</v>
      </c>
      <c r="F368" s="154">
        <v>22.8</v>
      </c>
      <c r="G368" s="153" t="s">
        <v>120</v>
      </c>
      <c r="H368" s="92"/>
      <c r="I368" s="160" t="s">
        <v>875</v>
      </c>
      <c r="J368" s="157" t="s">
        <v>890</v>
      </c>
    </row>
    <row r="369" spans="1:10" x14ac:dyDescent="0.3">
      <c r="A369" s="152">
        <v>72</v>
      </c>
      <c r="B369" s="152"/>
      <c r="C369" s="153" t="s">
        <v>962</v>
      </c>
      <c r="D369" s="153" t="s">
        <v>870</v>
      </c>
      <c r="E369" s="153" t="s">
        <v>870</v>
      </c>
      <c r="F369" s="154">
        <v>11.7</v>
      </c>
      <c r="G369" s="153"/>
      <c r="H369" s="92"/>
      <c r="I369" s="156" t="s">
        <v>871</v>
      </c>
      <c r="J369" s="157"/>
    </row>
    <row r="370" spans="1:10" ht="15.6" x14ac:dyDescent="0.3">
      <c r="A370" s="152">
        <v>73</v>
      </c>
      <c r="B370" s="152"/>
      <c r="C370" s="153" t="s">
        <v>176</v>
      </c>
      <c r="D370" s="156" t="s">
        <v>859</v>
      </c>
      <c r="E370" s="156" t="s">
        <v>859</v>
      </c>
      <c r="F370" s="154">
        <v>20</v>
      </c>
      <c r="G370" s="153" t="s">
        <v>284</v>
      </c>
      <c r="H370" s="92"/>
      <c r="I370" s="158" t="s">
        <v>874</v>
      </c>
      <c r="J370" s="157"/>
    </row>
    <row r="371" spans="1:10" ht="15.6" x14ac:dyDescent="0.3">
      <c r="A371" s="152">
        <v>74</v>
      </c>
      <c r="B371" s="152"/>
      <c r="C371" s="153" t="s">
        <v>97</v>
      </c>
      <c r="D371" s="153" t="s">
        <v>860</v>
      </c>
      <c r="E371" s="153" t="s">
        <v>860</v>
      </c>
      <c r="F371" s="154">
        <v>31</v>
      </c>
      <c r="G371" s="153" t="s">
        <v>120</v>
      </c>
      <c r="H371" s="92"/>
      <c r="I371" s="158" t="s">
        <v>874</v>
      </c>
      <c r="J371" s="157" t="s">
        <v>890</v>
      </c>
    </row>
    <row r="372" spans="1:10" ht="15.6" x14ac:dyDescent="0.3">
      <c r="A372" s="152">
        <v>75</v>
      </c>
      <c r="B372" s="152"/>
      <c r="C372" s="153" t="s">
        <v>1007</v>
      </c>
      <c r="D372" s="153" t="s">
        <v>860</v>
      </c>
      <c r="E372" s="153" t="s">
        <v>860</v>
      </c>
      <c r="F372" s="154">
        <v>22.8</v>
      </c>
      <c r="G372" s="153" t="s">
        <v>120</v>
      </c>
      <c r="H372" s="92"/>
      <c r="I372" s="158" t="s">
        <v>874</v>
      </c>
      <c r="J372" s="157" t="s">
        <v>890</v>
      </c>
    </row>
    <row r="373" spans="1:10" x14ac:dyDescent="0.3">
      <c r="A373" s="152">
        <v>76</v>
      </c>
      <c r="B373" s="152"/>
      <c r="C373" s="153" t="s">
        <v>93</v>
      </c>
      <c r="D373" s="153" t="s">
        <v>861</v>
      </c>
      <c r="E373" s="153" t="s">
        <v>861</v>
      </c>
      <c r="F373" s="154">
        <v>11.8</v>
      </c>
      <c r="G373" s="153" t="s">
        <v>284</v>
      </c>
      <c r="H373" s="92"/>
      <c r="I373" s="156" t="s">
        <v>871</v>
      </c>
      <c r="J373" s="157"/>
    </row>
    <row r="374" spans="1:10" ht="15.6" x14ac:dyDescent="0.3">
      <c r="A374" s="152">
        <v>77</v>
      </c>
      <c r="B374" s="152"/>
      <c r="C374" s="153" t="s">
        <v>1009</v>
      </c>
      <c r="D374" s="156" t="s">
        <v>859</v>
      </c>
      <c r="E374" s="156" t="s">
        <v>859</v>
      </c>
      <c r="F374" s="154">
        <v>3.7</v>
      </c>
      <c r="G374" s="153" t="s">
        <v>284</v>
      </c>
      <c r="H374" s="92"/>
      <c r="I374" s="158" t="s">
        <v>874</v>
      </c>
      <c r="J374" s="157"/>
    </row>
    <row r="375" spans="1:10" ht="15.6" x14ac:dyDescent="0.3">
      <c r="A375" s="152">
        <v>78</v>
      </c>
      <c r="B375" s="152"/>
      <c r="C375" s="153" t="s">
        <v>176</v>
      </c>
      <c r="D375" s="156" t="s">
        <v>859</v>
      </c>
      <c r="E375" s="156" t="s">
        <v>859</v>
      </c>
      <c r="F375" s="154">
        <v>16.600000000000001</v>
      </c>
      <c r="G375" s="153" t="s">
        <v>284</v>
      </c>
      <c r="H375" s="92"/>
      <c r="I375" s="158" t="s">
        <v>874</v>
      </c>
      <c r="J375" s="157"/>
    </row>
    <row r="376" spans="1:10" ht="15.6" x14ac:dyDescent="0.3">
      <c r="A376" s="152">
        <v>79</v>
      </c>
      <c r="B376" s="152"/>
      <c r="C376" s="153" t="s">
        <v>97</v>
      </c>
      <c r="D376" s="153" t="s">
        <v>860</v>
      </c>
      <c r="E376" s="153" t="s">
        <v>860</v>
      </c>
      <c r="F376" s="154">
        <v>30.8</v>
      </c>
      <c r="G376" s="153" t="s">
        <v>120</v>
      </c>
      <c r="H376" s="92"/>
      <c r="I376" s="158" t="s">
        <v>874</v>
      </c>
      <c r="J376" s="157" t="s">
        <v>890</v>
      </c>
    </row>
    <row r="377" spans="1:10" x14ac:dyDescent="0.3">
      <c r="A377" s="152">
        <v>80</v>
      </c>
      <c r="B377" s="152"/>
      <c r="C377" s="153" t="s">
        <v>1007</v>
      </c>
      <c r="D377" s="153" t="s">
        <v>860</v>
      </c>
      <c r="E377" s="153" t="s">
        <v>860</v>
      </c>
      <c r="F377" s="154">
        <v>22.8</v>
      </c>
      <c r="G377" s="153" t="s">
        <v>120</v>
      </c>
      <c r="H377" s="92"/>
      <c r="I377" s="160" t="s">
        <v>875</v>
      </c>
      <c r="J377" s="157" t="s">
        <v>890</v>
      </c>
    </row>
    <row r="378" spans="1:10" x14ac:dyDescent="0.3">
      <c r="A378" s="152">
        <v>81</v>
      </c>
      <c r="B378" s="152"/>
      <c r="C378" s="153" t="s">
        <v>93</v>
      </c>
      <c r="D378" s="153" t="s">
        <v>861</v>
      </c>
      <c r="E378" s="153" t="s">
        <v>861</v>
      </c>
      <c r="F378" s="154">
        <v>11.7</v>
      </c>
      <c r="G378" s="153" t="s">
        <v>284</v>
      </c>
      <c r="H378" s="92"/>
      <c r="I378" s="160" t="s">
        <v>875</v>
      </c>
      <c r="J378" s="157"/>
    </row>
    <row r="379" spans="1:10" ht="15.6" x14ac:dyDescent="0.3">
      <c r="A379" s="152">
        <v>82</v>
      </c>
      <c r="B379" s="41" t="s">
        <v>1010</v>
      </c>
      <c r="C379" s="153" t="s">
        <v>1011</v>
      </c>
      <c r="D379" s="153" t="s">
        <v>861</v>
      </c>
      <c r="E379" s="153" t="s">
        <v>861</v>
      </c>
      <c r="F379" s="154">
        <v>66.900000000000006</v>
      </c>
      <c r="G379" s="153" t="s">
        <v>284</v>
      </c>
      <c r="H379" s="92"/>
      <c r="I379" s="158" t="s">
        <v>874</v>
      </c>
      <c r="J379" s="157"/>
    </row>
    <row r="380" spans="1:10" ht="15.6" x14ac:dyDescent="0.3">
      <c r="A380" s="177" t="s">
        <v>1012</v>
      </c>
      <c r="B380" s="92"/>
      <c r="C380" s="153" t="s">
        <v>1013</v>
      </c>
      <c r="D380" s="153" t="s">
        <v>861</v>
      </c>
      <c r="E380" s="153" t="s">
        <v>861</v>
      </c>
      <c r="F380" s="154">
        <v>51.6</v>
      </c>
      <c r="G380" s="153" t="s">
        <v>284</v>
      </c>
      <c r="H380" s="92"/>
      <c r="I380" s="158" t="s">
        <v>874</v>
      </c>
      <c r="J380" s="157"/>
    </row>
    <row r="381" spans="1:10" ht="15.6" x14ac:dyDescent="0.3">
      <c r="A381" s="62" t="s">
        <v>1014</v>
      </c>
      <c r="B381" s="92"/>
      <c r="C381" s="8" t="s">
        <v>1015</v>
      </c>
      <c r="D381" s="8" t="s">
        <v>861</v>
      </c>
      <c r="E381" s="8" t="s">
        <v>861</v>
      </c>
      <c r="F381" s="154">
        <v>1.2</v>
      </c>
      <c r="G381" s="153" t="s">
        <v>284</v>
      </c>
      <c r="H381" s="92"/>
      <c r="I381" s="158" t="s">
        <v>874</v>
      </c>
      <c r="J381" s="157"/>
    </row>
    <row r="382" spans="1:10" x14ac:dyDescent="0.3">
      <c r="A382" s="41" t="s">
        <v>1016</v>
      </c>
      <c r="B382" s="41" t="s">
        <v>1016</v>
      </c>
      <c r="C382" s="153" t="s">
        <v>288</v>
      </c>
      <c r="D382" s="153" t="s">
        <v>860</v>
      </c>
      <c r="E382" s="153" t="s">
        <v>860</v>
      </c>
      <c r="F382" s="154">
        <v>17.600000000000001</v>
      </c>
      <c r="G382" s="153" t="s">
        <v>145</v>
      </c>
      <c r="H382" s="92"/>
      <c r="I382" s="160" t="s">
        <v>875</v>
      </c>
      <c r="J382" s="157" t="s">
        <v>890</v>
      </c>
    </row>
    <row r="383" spans="1:10" ht="15.6" x14ac:dyDescent="0.3">
      <c r="A383" s="41" t="s">
        <v>1017</v>
      </c>
      <c r="B383" s="41" t="s">
        <v>1017</v>
      </c>
      <c r="C383" s="153" t="s">
        <v>988</v>
      </c>
      <c r="D383" s="153" t="s">
        <v>881</v>
      </c>
      <c r="E383" s="153" t="s">
        <v>881</v>
      </c>
      <c r="F383" s="154">
        <v>68.900000000000006</v>
      </c>
      <c r="G383" s="153" t="s">
        <v>145</v>
      </c>
      <c r="H383" s="92"/>
      <c r="I383" s="158" t="s">
        <v>874</v>
      </c>
      <c r="J383" s="157"/>
    </row>
    <row r="384" spans="1:10" ht="15.6" x14ac:dyDescent="0.3">
      <c r="A384" s="152">
        <v>85</v>
      </c>
      <c r="B384" s="152"/>
      <c r="C384" s="153" t="s">
        <v>303</v>
      </c>
      <c r="D384" s="153" t="s">
        <v>881</v>
      </c>
      <c r="E384" s="153" t="s">
        <v>881</v>
      </c>
      <c r="F384" s="154">
        <v>115.5</v>
      </c>
      <c r="G384" s="153" t="s">
        <v>1018</v>
      </c>
      <c r="H384" s="92"/>
      <c r="I384" s="158" t="s">
        <v>874</v>
      </c>
      <c r="J384" s="157"/>
    </row>
    <row r="385" spans="1:10" ht="15.6" x14ac:dyDescent="0.3">
      <c r="A385" s="152">
        <v>90</v>
      </c>
      <c r="B385" s="152"/>
      <c r="C385" s="153" t="s">
        <v>319</v>
      </c>
      <c r="D385" s="153" t="s">
        <v>860</v>
      </c>
      <c r="E385" s="153" t="s">
        <v>860</v>
      </c>
      <c r="F385" s="154">
        <v>22.7</v>
      </c>
      <c r="G385" s="153" t="s">
        <v>284</v>
      </c>
      <c r="H385" s="92"/>
      <c r="I385" s="158" t="s">
        <v>874</v>
      </c>
      <c r="J385" s="157"/>
    </row>
    <row r="386" spans="1:10" ht="15.6" x14ac:dyDescent="0.3">
      <c r="A386" s="152">
        <v>91</v>
      </c>
      <c r="B386" s="152"/>
      <c r="C386" s="153" t="s">
        <v>319</v>
      </c>
      <c r="D386" s="153" t="s">
        <v>860</v>
      </c>
      <c r="E386" s="153" t="s">
        <v>860</v>
      </c>
      <c r="F386" s="154">
        <v>26.7</v>
      </c>
      <c r="G386" s="153" t="s">
        <v>284</v>
      </c>
      <c r="H386" s="92"/>
      <c r="I386" s="158" t="s">
        <v>874</v>
      </c>
      <c r="J386" s="157"/>
    </row>
    <row r="387" spans="1:10" ht="15.6" x14ac:dyDescent="0.3">
      <c r="A387" s="152">
        <v>92</v>
      </c>
      <c r="B387" s="152"/>
      <c r="C387" s="153" t="s">
        <v>862</v>
      </c>
      <c r="D387" s="153" t="s">
        <v>862</v>
      </c>
      <c r="E387" s="153" t="s">
        <v>862</v>
      </c>
      <c r="F387" s="154">
        <v>1.2</v>
      </c>
      <c r="G387" s="153"/>
      <c r="H387" s="92"/>
      <c r="I387" s="158" t="s">
        <v>874</v>
      </c>
      <c r="J387" s="157"/>
    </row>
    <row r="388" spans="1:10" ht="15.6" x14ac:dyDescent="0.3">
      <c r="A388" s="152">
        <v>93</v>
      </c>
      <c r="B388" s="152"/>
      <c r="C388" s="153" t="s">
        <v>862</v>
      </c>
      <c r="D388" s="153" t="s">
        <v>862</v>
      </c>
      <c r="E388" s="153" t="s">
        <v>862</v>
      </c>
      <c r="F388" s="154">
        <v>1.2</v>
      </c>
      <c r="G388" s="153"/>
      <c r="H388" s="92"/>
      <c r="I388" s="158" t="s">
        <v>874</v>
      </c>
      <c r="J388" s="157"/>
    </row>
    <row r="389" spans="1:10" ht="15.6" x14ac:dyDescent="0.3">
      <c r="A389" s="152">
        <v>94</v>
      </c>
      <c r="B389" s="152"/>
      <c r="C389" s="153" t="s">
        <v>862</v>
      </c>
      <c r="D389" s="153" t="s">
        <v>862</v>
      </c>
      <c r="E389" s="153" t="s">
        <v>862</v>
      </c>
      <c r="F389" s="154">
        <v>1.65</v>
      </c>
      <c r="G389" s="153"/>
      <c r="H389" s="92"/>
      <c r="I389" s="158" t="s">
        <v>874</v>
      </c>
      <c r="J389" s="157"/>
    </row>
    <row r="390" spans="1:10" ht="15.6" x14ac:dyDescent="0.3">
      <c r="A390" s="152" t="s">
        <v>1019</v>
      </c>
      <c r="B390" s="152"/>
      <c r="C390" s="153" t="s">
        <v>86</v>
      </c>
      <c r="D390" s="153" t="s">
        <v>860</v>
      </c>
      <c r="E390" s="153" t="s">
        <v>860</v>
      </c>
      <c r="F390" s="154">
        <v>64.5</v>
      </c>
      <c r="G390" s="153" t="s">
        <v>284</v>
      </c>
      <c r="H390" s="92"/>
      <c r="I390" s="158" t="s">
        <v>874</v>
      </c>
      <c r="J390" s="157"/>
    </row>
    <row r="391" spans="1:10" ht="15.6" x14ac:dyDescent="0.3">
      <c r="A391" s="152" t="s">
        <v>1020</v>
      </c>
      <c r="B391" s="152"/>
      <c r="C391" s="153" t="s">
        <v>86</v>
      </c>
      <c r="D391" s="153" t="s">
        <v>860</v>
      </c>
      <c r="E391" s="153" t="s">
        <v>860</v>
      </c>
      <c r="F391" s="154">
        <v>53.9</v>
      </c>
      <c r="G391" s="153" t="s">
        <v>284</v>
      </c>
      <c r="H391" s="92"/>
      <c r="I391" s="158" t="s">
        <v>874</v>
      </c>
      <c r="J391" s="157"/>
    </row>
    <row r="392" spans="1:10" ht="15.6" x14ac:dyDescent="0.3">
      <c r="A392" s="152" t="s">
        <v>1021</v>
      </c>
      <c r="B392" s="152"/>
      <c r="C392" s="153" t="s">
        <v>86</v>
      </c>
      <c r="D392" s="153" t="s">
        <v>860</v>
      </c>
      <c r="E392" s="153" t="s">
        <v>860</v>
      </c>
      <c r="F392" s="154">
        <v>113</v>
      </c>
      <c r="G392" s="153" t="s">
        <v>284</v>
      </c>
      <c r="H392" s="92"/>
      <c r="I392" s="158" t="s">
        <v>874</v>
      </c>
      <c r="J392" s="157"/>
    </row>
    <row r="393" spans="1:10" ht="15.6" x14ac:dyDescent="0.3">
      <c r="A393" s="152" t="s">
        <v>1022</v>
      </c>
      <c r="B393" s="152"/>
      <c r="C393" s="153" t="s">
        <v>86</v>
      </c>
      <c r="D393" s="153" t="s">
        <v>860</v>
      </c>
      <c r="E393" s="153" t="s">
        <v>860</v>
      </c>
      <c r="F393" s="154">
        <v>125.7</v>
      </c>
      <c r="G393" s="153" t="s">
        <v>284</v>
      </c>
      <c r="H393" s="92"/>
      <c r="I393" s="158" t="s">
        <v>874</v>
      </c>
      <c r="J393" s="157"/>
    </row>
    <row r="394" spans="1:10" ht="15.6" x14ac:dyDescent="0.3">
      <c r="A394" s="152" t="s">
        <v>1023</v>
      </c>
      <c r="B394" s="152"/>
      <c r="C394" s="153" t="s">
        <v>86</v>
      </c>
      <c r="D394" s="153" t="s">
        <v>860</v>
      </c>
      <c r="E394" s="153" t="s">
        <v>860</v>
      </c>
      <c r="F394" s="154">
        <v>56.2</v>
      </c>
      <c r="G394" s="153" t="s">
        <v>284</v>
      </c>
      <c r="H394" s="92"/>
      <c r="I394" s="158" t="s">
        <v>874</v>
      </c>
      <c r="J394" s="157"/>
    </row>
    <row r="395" spans="1:10" ht="15.6" x14ac:dyDescent="0.3">
      <c r="A395" s="152" t="s">
        <v>1024</v>
      </c>
      <c r="B395" s="152"/>
      <c r="C395" s="153" t="s">
        <v>86</v>
      </c>
      <c r="D395" s="153" t="s">
        <v>860</v>
      </c>
      <c r="E395" s="153" t="s">
        <v>860</v>
      </c>
      <c r="F395" s="154">
        <v>13.7</v>
      </c>
      <c r="G395" s="153" t="s">
        <v>284</v>
      </c>
      <c r="H395" s="92"/>
      <c r="I395" s="158" t="s">
        <v>874</v>
      </c>
      <c r="J395" s="157"/>
    </row>
    <row r="396" spans="1:10" ht="15.6" x14ac:dyDescent="0.3">
      <c r="A396" s="152" t="s">
        <v>1025</v>
      </c>
      <c r="B396" s="152"/>
      <c r="C396" s="153" t="s">
        <v>86</v>
      </c>
      <c r="D396" s="153" t="s">
        <v>860</v>
      </c>
      <c r="E396" s="153" t="s">
        <v>860</v>
      </c>
      <c r="F396" s="154">
        <v>50.8</v>
      </c>
      <c r="G396" s="153" t="s">
        <v>284</v>
      </c>
      <c r="H396" s="92"/>
      <c r="I396" s="158" t="s">
        <v>874</v>
      </c>
      <c r="J396" s="157"/>
    </row>
    <row r="397" spans="1:10" ht="16.2" thickBot="1" x14ac:dyDescent="0.35">
      <c r="A397" s="176" t="s">
        <v>1026</v>
      </c>
      <c r="B397" s="176"/>
      <c r="C397" s="161" t="s">
        <v>86</v>
      </c>
      <c r="D397" s="161" t="s">
        <v>860</v>
      </c>
      <c r="E397" s="161" t="s">
        <v>860</v>
      </c>
      <c r="F397" s="170">
        <v>234.2</v>
      </c>
      <c r="G397" s="161" t="s">
        <v>284</v>
      </c>
      <c r="H397" s="172"/>
      <c r="I397" s="158" t="s">
        <v>874</v>
      </c>
      <c r="J397" s="157"/>
    </row>
    <row r="398" spans="1:10" ht="15" thickBot="1" x14ac:dyDescent="0.35">
      <c r="A398" s="54" t="s">
        <v>57</v>
      </c>
      <c r="B398" s="63"/>
      <c r="C398" s="56"/>
      <c r="D398" s="56"/>
      <c r="E398" s="56"/>
      <c r="F398" s="57">
        <f>SUM(F294:F397)</f>
        <v>3099.2499999999986</v>
      </c>
      <c r="G398" s="58"/>
      <c r="H398" s="58"/>
      <c r="I398" s="59"/>
      <c r="J398" s="157"/>
    </row>
    <row r="399" spans="1:10" ht="15" thickBot="1" x14ac:dyDescent="0.35">
      <c r="A399" s="175"/>
      <c r="B399" s="157"/>
      <c r="C399" s="163"/>
      <c r="D399" s="163"/>
      <c r="E399" s="163"/>
      <c r="F399" s="164"/>
      <c r="G399" s="157"/>
      <c r="H399" s="157"/>
      <c r="I399" s="165"/>
      <c r="J399" s="157"/>
    </row>
    <row r="400" spans="1:10" ht="18" thickBot="1" x14ac:dyDescent="0.35">
      <c r="A400" s="64" t="s">
        <v>1027</v>
      </c>
      <c r="B400" s="65"/>
      <c r="C400" s="65"/>
      <c r="D400" s="65"/>
      <c r="E400" s="65"/>
      <c r="F400" s="66"/>
      <c r="G400" s="65"/>
      <c r="H400" s="65"/>
      <c r="I400" s="67"/>
      <c r="J400" s="157"/>
    </row>
    <row r="401" spans="1:13" ht="31.8" thickBot="1" x14ac:dyDescent="0.35">
      <c r="A401" s="68" t="s">
        <v>70</v>
      </c>
      <c r="B401" s="69" t="s">
        <v>70</v>
      </c>
      <c r="C401" s="69" t="s">
        <v>72</v>
      </c>
      <c r="D401" s="149" t="s">
        <v>864</v>
      </c>
      <c r="E401" s="149" t="s">
        <v>865</v>
      </c>
      <c r="F401" s="70" t="s">
        <v>73</v>
      </c>
      <c r="G401" s="9" t="s">
        <v>866</v>
      </c>
      <c r="H401" s="9" t="s">
        <v>867</v>
      </c>
      <c r="I401" s="10" t="s">
        <v>868</v>
      </c>
      <c r="J401" s="157"/>
    </row>
    <row r="402" spans="1:13" x14ac:dyDescent="0.3">
      <c r="A402" s="166" t="s">
        <v>1028</v>
      </c>
      <c r="B402" s="166" t="s">
        <v>1028</v>
      </c>
      <c r="C402" s="155" t="s">
        <v>93</v>
      </c>
      <c r="D402" s="155" t="s">
        <v>861</v>
      </c>
      <c r="E402" s="155" t="s">
        <v>861</v>
      </c>
      <c r="F402" s="167">
        <v>10.7</v>
      </c>
      <c r="G402" s="155" t="s">
        <v>120</v>
      </c>
      <c r="H402" s="168"/>
      <c r="I402" s="156" t="s">
        <v>871</v>
      </c>
      <c r="J402" s="157"/>
      <c r="L402" s="89" t="s">
        <v>68</v>
      </c>
      <c r="M402" t="s">
        <v>69</v>
      </c>
    </row>
    <row r="403" spans="1:13" ht="15.6" x14ac:dyDescent="0.3">
      <c r="A403" s="152" t="s">
        <v>1029</v>
      </c>
      <c r="B403" s="152" t="s">
        <v>1029</v>
      </c>
      <c r="C403" s="153" t="s">
        <v>183</v>
      </c>
      <c r="D403" s="49" t="s">
        <v>861</v>
      </c>
      <c r="E403" s="49" t="s">
        <v>861</v>
      </c>
      <c r="F403" s="154">
        <v>32.5</v>
      </c>
      <c r="G403" s="153" t="s">
        <v>145</v>
      </c>
      <c r="H403" s="92"/>
      <c r="I403" s="158" t="s">
        <v>874</v>
      </c>
      <c r="J403" s="157"/>
      <c r="L403" s="90" t="s">
        <v>875</v>
      </c>
    </row>
    <row r="404" spans="1:13" x14ac:dyDescent="0.3">
      <c r="A404" s="152" t="s">
        <v>1030</v>
      </c>
      <c r="B404" s="152" t="s">
        <v>1030</v>
      </c>
      <c r="C404" s="153" t="s">
        <v>181</v>
      </c>
      <c r="D404" s="153" t="s">
        <v>181</v>
      </c>
      <c r="E404" s="153" t="s">
        <v>181</v>
      </c>
      <c r="F404" s="154">
        <v>11.2</v>
      </c>
      <c r="G404" s="153" t="s">
        <v>145</v>
      </c>
      <c r="H404" s="92"/>
      <c r="I404" s="156" t="s">
        <v>871</v>
      </c>
      <c r="J404" s="157"/>
      <c r="L404" s="99" t="s">
        <v>860</v>
      </c>
      <c r="M404">
        <v>247.3</v>
      </c>
    </row>
    <row r="405" spans="1:13" x14ac:dyDescent="0.3">
      <c r="A405" s="152" t="s">
        <v>1031</v>
      </c>
      <c r="B405" s="152" t="s">
        <v>1031</v>
      </c>
      <c r="C405" s="153" t="s">
        <v>183</v>
      </c>
      <c r="D405" s="153" t="s">
        <v>861</v>
      </c>
      <c r="E405" s="153" t="s">
        <v>861</v>
      </c>
      <c r="F405" s="154">
        <v>17.100000000000001</v>
      </c>
      <c r="G405" s="153" t="s">
        <v>145</v>
      </c>
      <c r="H405" s="92"/>
      <c r="I405" s="156" t="s">
        <v>954</v>
      </c>
      <c r="J405" s="157"/>
      <c r="L405" s="90" t="s">
        <v>954</v>
      </c>
    </row>
    <row r="406" spans="1:13" ht="15.6" x14ac:dyDescent="0.3">
      <c r="A406" s="152" t="s">
        <v>1032</v>
      </c>
      <c r="B406" s="152" t="s">
        <v>1032</v>
      </c>
      <c r="C406" s="153" t="s">
        <v>183</v>
      </c>
      <c r="D406" s="153" t="s">
        <v>861</v>
      </c>
      <c r="E406" s="153" t="s">
        <v>861</v>
      </c>
      <c r="F406" s="154">
        <v>11.2</v>
      </c>
      <c r="G406" s="153" t="s">
        <v>145</v>
      </c>
      <c r="H406" s="92"/>
      <c r="I406" s="158" t="s">
        <v>874</v>
      </c>
      <c r="J406" s="157"/>
      <c r="L406" s="99" t="s">
        <v>861</v>
      </c>
      <c r="M406">
        <v>17.100000000000001</v>
      </c>
    </row>
    <row r="407" spans="1:13" x14ac:dyDescent="0.3">
      <c r="A407" s="152" t="s">
        <v>1033</v>
      </c>
      <c r="B407" s="152" t="s">
        <v>1033</v>
      </c>
      <c r="C407" s="153" t="s">
        <v>183</v>
      </c>
      <c r="D407" s="153" t="s">
        <v>861</v>
      </c>
      <c r="E407" s="153" t="s">
        <v>861</v>
      </c>
      <c r="F407" s="154">
        <v>16.7</v>
      </c>
      <c r="G407" s="153" t="s">
        <v>145</v>
      </c>
      <c r="H407" s="92"/>
      <c r="I407" s="156" t="s">
        <v>871</v>
      </c>
      <c r="J407" s="157"/>
      <c r="L407" s="90" t="s">
        <v>871</v>
      </c>
    </row>
    <row r="408" spans="1:13" x14ac:dyDescent="0.3">
      <c r="A408" s="152" t="s">
        <v>1034</v>
      </c>
      <c r="B408" s="152" t="s">
        <v>1034</v>
      </c>
      <c r="C408" s="153" t="s">
        <v>93</v>
      </c>
      <c r="D408" s="153" t="s">
        <v>860</v>
      </c>
      <c r="E408" s="153" t="s">
        <v>860</v>
      </c>
      <c r="F408" s="154">
        <v>11.2</v>
      </c>
      <c r="G408" s="153" t="s">
        <v>284</v>
      </c>
      <c r="H408" s="92"/>
      <c r="I408" s="156" t="s">
        <v>871</v>
      </c>
      <c r="J408" s="157"/>
      <c r="L408" s="99" t="s">
        <v>860</v>
      </c>
      <c r="M408">
        <v>78.5</v>
      </c>
    </row>
    <row r="409" spans="1:13" ht="15.6" x14ac:dyDescent="0.3">
      <c r="A409" s="152" t="s">
        <v>1035</v>
      </c>
      <c r="B409" s="152"/>
      <c r="C409" s="153" t="s">
        <v>183</v>
      </c>
      <c r="D409" s="153" t="s">
        <v>861</v>
      </c>
      <c r="E409" s="153" t="s">
        <v>861</v>
      </c>
      <c r="F409" s="154">
        <v>33.299999999999997</v>
      </c>
      <c r="G409" s="153" t="s">
        <v>145</v>
      </c>
      <c r="H409" s="92"/>
      <c r="I409" s="158" t="s">
        <v>874</v>
      </c>
      <c r="J409" s="157"/>
      <c r="L409" s="99" t="s">
        <v>181</v>
      </c>
      <c r="M409">
        <v>62.22</v>
      </c>
    </row>
    <row r="410" spans="1:13" x14ac:dyDescent="0.3">
      <c r="A410" s="152" t="s">
        <v>1036</v>
      </c>
      <c r="B410" s="152" t="s">
        <v>1036</v>
      </c>
      <c r="C410" s="153" t="s">
        <v>183</v>
      </c>
      <c r="D410" s="153" t="s">
        <v>861</v>
      </c>
      <c r="E410" s="153" t="s">
        <v>861</v>
      </c>
      <c r="F410" s="154">
        <v>10.8</v>
      </c>
      <c r="G410" s="153" t="s">
        <v>120</v>
      </c>
      <c r="H410" s="92"/>
      <c r="I410" s="156" t="s">
        <v>871</v>
      </c>
      <c r="J410" s="157"/>
      <c r="L410" s="99" t="s">
        <v>861</v>
      </c>
      <c r="M410">
        <v>388.57999999999993</v>
      </c>
    </row>
    <row r="411" spans="1:13" x14ac:dyDescent="0.3">
      <c r="A411" s="152" t="s">
        <v>1037</v>
      </c>
      <c r="B411" s="152" t="s">
        <v>1037</v>
      </c>
      <c r="C411" s="153" t="s">
        <v>183</v>
      </c>
      <c r="D411" s="153" t="s">
        <v>861</v>
      </c>
      <c r="E411" s="153" t="s">
        <v>861</v>
      </c>
      <c r="F411" s="154">
        <v>10.6</v>
      </c>
      <c r="G411" s="153" t="s">
        <v>120</v>
      </c>
      <c r="H411" s="92"/>
      <c r="I411" s="156" t="s">
        <v>871</v>
      </c>
      <c r="J411" s="157"/>
      <c r="L411" s="90" t="s">
        <v>874</v>
      </c>
    </row>
    <row r="412" spans="1:13" x14ac:dyDescent="0.3">
      <c r="A412" s="152" t="s">
        <v>1038</v>
      </c>
      <c r="B412" s="152" t="s">
        <v>1038</v>
      </c>
      <c r="C412" s="153" t="s">
        <v>1039</v>
      </c>
      <c r="D412" s="153" t="s">
        <v>861</v>
      </c>
      <c r="E412" s="153" t="s">
        <v>861</v>
      </c>
      <c r="F412" s="154">
        <v>21.7</v>
      </c>
      <c r="G412" s="153" t="s">
        <v>120</v>
      </c>
      <c r="H412" s="92"/>
      <c r="I412" s="156" t="s">
        <v>871</v>
      </c>
      <c r="J412" s="157"/>
      <c r="L412" s="99" t="s">
        <v>859</v>
      </c>
      <c r="M412">
        <v>3.8</v>
      </c>
    </row>
    <row r="413" spans="1:13" x14ac:dyDescent="0.3">
      <c r="A413" s="152" t="s">
        <v>1040</v>
      </c>
      <c r="B413" s="152"/>
      <c r="C413" s="153" t="s">
        <v>181</v>
      </c>
      <c r="D413" s="153" t="s">
        <v>870</v>
      </c>
      <c r="E413" s="153" t="s">
        <v>870</v>
      </c>
      <c r="F413" s="154">
        <v>10.9</v>
      </c>
      <c r="G413" s="153" t="s">
        <v>145</v>
      </c>
      <c r="H413" s="92"/>
      <c r="I413" s="156" t="s">
        <v>871</v>
      </c>
      <c r="J413" s="157"/>
      <c r="L413" s="99" t="s">
        <v>860</v>
      </c>
      <c r="M413">
        <v>437.86</v>
      </c>
    </row>
    <row r="414" spans="1:13" x14ac:dyDescent="0.3">
      <c r="A414" s="152" t="s">
        <v>1041</v>
      </c>
      <c r="B414" s="152"/>
      <c r="C414" s="153" t="s">
        <v>97</v>
      </c>
      <c r="D414" s="153" t="s">
        <v>860</v>
      </c>
      <c r="E414" s="153" t="s">
        <v>860</v>
      </c>
      <c r="F414" s="154">
        <v>11.8</v>
      </c>
      <c r="G414" s="153" t="s">
        <v>120</v>
      </c>
      <c r="H414" s="92"/>
      <c r="I414" s="160" t="s">
        <v>875</v>
      </c>
      <c r="J414" s="157" t="s">
        <v>890</v>
      </c>
      <c r="L414" s="99" t="s">
        <v>861</v>
      </c>
      <c r="M414">
        <v>350.69999999999993</v>
      </c>
    </row>
    <row r="415" spans="1:13" ht="15.6" x14ac:dyDescent="0.3">
      <c r="A415" s="152" t="s">
        <v>1042</v>
      </c>
      <c r="B415" s="152" t="s">
        <v>1042</v>
      </c>
      <c r="C415" s="153" t="s">
        <v>183</v>
      </c>
      <c r="D415" s="153" t="s">
        <v>861</v>
      </c>
      <c r="E415" s="153" t="s">
        <v>861</v>
      </c>
      <c r="F415" s="154">
        <v>17</v>
      </c>
      <c r="G415" s="153" t="s">
        <v>145</v>
      </c>
      <c r="H415" s="92"/>
      <c r="I415" s="158" t="s">
        <v>874</v>
      </c>
      <c r="J415" s="157"/>
      <c r="L415" s="99" t="s">
        <v>862</v>
      </c>
      <c r="M415">
        <v>4.05</v>
      </c>
    </row>
    <row r="416" spans="1:13" ht="15.6" x14ac:dyDescent="0.3">
      <c r="A416" s="152" t="s">
        <v>1043</v>
      </c>
      <c r="B416" s="152"/>
      <c r="C416" s="153" t="s">
        <v>183</v>
      </c>
      <c r="D416" s="153" t="s">
        <v>861</v>
      </c>
      <c r="E416" s="153" t="s">
        <v>861</v>
      </c>
      <c r="F416" s="154">
        <v>4.9000000000000004</v>
      </c>
      <c r="G416" s="153" t="s">
        <v>145</v>
      </c>
      <c r="H416" s="92"/>
      <c r="I416" s="158" t="s">
        <v>874</v>
      </c>
      <c r="J416" s="157"/>
      <c r="L416" s="90" t="s">
        <v>122</v>
      </c>
      <c r="M416">
        <v>1590.11</v>
      </c>
    </row>
    <row r="417" spans="1:10" x14ac:dyDescent="0.3">
      <c r="A417" s="152" t="s">
        <v>1044</v>
      </c>
      <c r="B417" s="152" t="s">
        <v>1044</v>
      </c>
      <c r="C417" s="153" t="s">
        <v>93</v>
      </c>
      <c r="D417" s="153" t="s">
        <v>861</v>
      </c>
      <c r="E417" s="153" t="s">
        <v>861</v>
      </c>
      <c r="F417" s="154">
        <v>9.3000000000000007</v>
      </c>
      <c r="G417" s="153" t="s">
        <v>284</v>
      </c>
      <c r="H417" s="92"/>
      <c r="I417" s="156" t="s">
        <v>871</v>
      </c>
      <c r="J417" s="157"/>
    </row>
    <row r="418" spans="1:10" ht="15.6" x14ac:dyDescent="0.3">
      <c r="A418" s="152" t="s">
        <v>1045</v>
      </c>
      <c r="B418" s="152" t="s">
        <v>1045</v>
      </c>
      <c r="C418" s="153" t="s">
        <v>183</v>
      </c>
      <c r="D418" s="153" t="s">
        <v>861</v>
      </c>
      <c r="E418" s="153" t="s">
        <v>861</v>
      </c>
      <c r="F418" s="154">
        <v>16.899999999999999</v>
      </c>
      <c r="G418" s="153" t="s">
        <v>284</v>
      </c>
      <c r="H418" s="92"/>
      <c r="I418" s="158" t="s">
        <v>874</v>
      </c>
      <c r="J418" s="157"/>
    </row>
    <row r="419" spans="1:10" x14ac:dyDescent="0.3">
      <c r="A419" s="152" t="s">
        <v>1046</v>
      </c>
      <c r="B419" s="152" t="s">
        <v>1046</v>
      </c>
      <c r="C419" s="153" t="s">
        <v>93</v>
      </c>
      <c r="D419" s="153" t="s">
        <v>861</v>
      </c>
      <c r="E419" s="153" t="s">
        <v>861</v>
      </c>
      <c r="F419" s="154">
        <v>16.7</v>
      </c>
      <c r="G419" s="153" t="s">
        <v>284</v>
      </c>
      <c r="H419" s="92"/>
      <c r="I419" s="156" t="s">
        <v>871</v>
      </c>
      <c r="J419" s="157"/>
    </row>
    <row r="420" spans="1:10" ht="15.6" x14ac:dyDescent="0.3">
      <c r="A420" s="61" t="s">
        <v>1047</v>
      </c>
      <c r="B420" s="61" t="s">
        <v>1047</v>
      </c>
      <c r="C420" s="153" t="s">
        <v>1048</v>
      </c>
      <c r="D420" s="153" t="s">
        <v>861</v>
      </c>
      <c r="E420" s="153" t="s">
        <v>861</v>
      </c>
      <c r="F420" s="48">
        <v>22.5</v>
      </c>
      <c r="G420" s="153" t="s">
        <v>145</v>
      </c>
      <c r="H420" s="92"/>
      <c r="I420" s="158" t="s">
        <v>874</v>
      </c>
      <c r="J420" s="157"/>
    </row>
    <row r="421" spans="1:10" x14ac:dyDescent="0.3">
      <c r="A421" s="152" t="s">
        <v>1049</v>
      </c>
      <c r="B421" s="152" t="s">
        <v>1049</v>
      </c>
      <c r="C421" s="153" t="s">
        <v>322</v>
      </c>
      <c r="D421" s="153" t="s">
        <v>870</v>
      </c>
      <c r="E421" s="153" t="s">
        <v>870</v>
      </c>
      <c r="F421" s="154">
        <v>18</v>
      </c>
      <c r="G421" s="153" t="s">
        <v>284</v>
      </c>
      <c r="H421" s="92"/>
      <c r="I421" s="156" t="s">
        <v>871</v>
      </c>
      <c r="J421" s="157"/>
    </row>
    <row r="422" spans="1:10" x14ac:dyDescent="0.3">
      <c r="A422" s="152" t="s">
        <v>1050</v>
      </c>
      <c r="B422" s="152" t="s">
        <v>1050</v>
      </c>
      <c r="C422" s="153" t="s">
        <v>93</v>
      </c>
      <c r="D422" s="153" t="s">
        <v>860</v>
      </c>
      <c r="E422" s="153" t="s">
        <v>860</v>
      </c>
      <c r="F422" s="154">
        <v>22.7</v>
      </c>
      <c r="G422" s="153" t="s">
        <v>334</v>
      </c>
      <c r="H422" s="92"/>
      <c r="I422" s="156" t="s">
        <v>871</v>
      </c>
      <c r="J422" s="157"/>
    </row>
    <row r="423" spans="1:10" ht="15.6" x14ac:dyDescent="0.3">
      <c r="A423" s="152" t="s">
        <v>1051</v>
      </c>
      <c r="B423" s="152" t="s">
        <v>1051</v>
      </c>
      <c r="C423" s="153" t="s">
        <v>909</v>
      </c>
      <c r="D423" s="153" t="s">
        <v>861</v>
      </c>
      <c r="E423" s="153" t="s">
        <v>861</v>
      </c>
      <c r="F423" s="154">
        <v>16.100000000000001</v>
      </c>
      <c r="G423" s="153" t="s">
        <v>145</v>
      </c>
      <c r="H423" s="92"/>
      <c r="I423" s="158" t="s">
        <v>874</v>
      </c>
      <c r="J423" s="157"/>
    </row>
    <row r="424" spans="1:10" ht="15.6" x14ac:dyDescent="0.3">
      <c r="A424" s="152" t="s">
        <v>1052</v>
      </c>
      <c r="B424" s="152" t="s">
        <v>1052</v>
      </c>
      <c r="C424" s="153" t="s">
        <v>183</v>
      </c>
      <c r="D424" s="153" t="s">
        <v>861</v>
      </c>
      <c r="E424" s="153" t="s">
        <v>861</v>
      </c>
      <c r="F424" s="154">
        <v>10.8</v>
      </c>
      <c r="G424" s="153" t="s">
        <v>145</v>
      </c>
      <c r="H424" s="92"/>
      <c r="I424" s="158" t="s">
        <v>874</v>
      </c>
      <c r="J424" s="157"/>
    </row>
    <row r="425" spans="1:10" ht="15.6" x14ac:dyDescent="0.3">
      <c r="A425" s="152" t="s">
        <v>1053</v>
      </c>
      <c r="B425" s="152" t="s">
        <v>1053</v>
      </c>
      <c r="C425" s="153" t="s">
        <v>209</v>
      </c>
      <c r="D425" s="153" t="s">
        <v>861</v>
      </c>
      <c r="E425" s="153" t="s">
        <v>861</v>
      </c>
      <c r="F425" s="154">
        <v>2.6</v>
      </c>
      <c r="G425" s="153" t="s">
        <v>145</v>
      </c>
      <c r="H425" s="92"/>
      <c r="I425" s="158" t="s">
        <v>874</v>
      </c>
      <c r="J425" s="157"/>
    </row>
    <row r="426" spans="1:10" x14ac:dyDescent="0.3">
      <c r="A426" s="152" t="s">
        <v>1054</v>
      </c>
      <c r="B426" s="152"/>
      <c r="C426" s="153" t="s">
        <v>183</v>
      </c>
      <c r="D426" s="153" t="s">
        <v>861</v>
      </c>
      <c r="E426" s="153" t="s">
        <v>861</v>
      </c>
      <c r="F426" s="154">
        <v>2.2000000000000002</v>
      </c>
      <c r="G426" s="153" t="s">
        <v>284</v>
      </c>
      <c r="H426" s="92"/>
      <c r="I426" s="156" t="s">
        <v>871</v>
      </c>
      <c r="J426" s="157"/>
    </row>
    <row r="427" spans="1:10" x14ac:dyDescent="0.3">
      <c r="A427" s="152" t="s">
        <v>1055</v>
      </c>
      <c r="B427" s="152"/>
      <c r="C427" s="153" t="s">
        <v>183</v>
      </c>
      <c r="D427" s="153" t="s">
        <v>861</v>
      </c>
      <c r="E427" s="153" t="s">
        <v>861</v>
      </c>
      <c r="F427" s="154">
        <v>11.9</v>
      </c>
      <c r="G427" s="153" t="s">
        <v>145</v>
      </c>
      <c r="H427" s="92"/>
      <c r="I427" s="156" t="s">
        <v>871</v>
      </c>
      <c r="J427" s="157"/>
    </row>
    <row r="428" spans="1:10" x14ac:dyDescent="0.3">
      <c r="A428" s="152" t="s">
        <v>1056</v>
      </c>
      <c r="B428" s="152"/>
      <c r="C428" s="153" t="s">
        <v>183</v>
      </c>
      <c r="D428" s="153" t="s">
        <v>861</v>
      </c>
      <c r="E428" s="153" t="s">
        <v>861</v>
      </c>
      <c r="F428" s="154">
        <v>15.6</v>
      </c>
      <c r="G428" s="153" t="s">
        <v>145</v>
      </c>
      <c r="H428" s="92"/>
      <c r="I428" s="156" t="s">
        <v>871</v>
      </c>
      <c r="J428" s="157"/>
    </row>
    <row r="429" spans="1:10" ht="15.6" x14ac:dyDescent="0.3">
      <c r="A429" s="152" t="s">
        <v>1057</v>
      </c>
      <c r="B429" s="152">
        <v>21</v>
      </c>
      <c r="C429" s="153" t="s">
        <v>209</v>
      </c>
      <c r="D429" s="153" t="s">
        <v>861</v>
      </c>
      <c r="E429" s="153" t="s">
        <v>861</v>
      </c>
      <c r="F429" s="154">
        <v>6.5</v>
      </c>
      <c r="G429" s="153" t="s">
        <v>145</v>
      </c>
      <c r="H429" s="92"/>
      <c r="I429" s="158" t="s">
        <v>874</v>
      </c>
      <c r="J429" s="157"/>
    </row>
    <row r="430" spans="1:10" x14ac:dyDescent="0.3">
      <c r="A430" s="152" t="s">
        <v>1058</v>
      </c>
      <c r="B430" s="152"/>
      <c r="C430" s="153" t="s">
        <v>1059</v>
      </c>
      <c r="D430" s="153" t="s">
        <v>861</v>
      </c>
      <c r="E430" s="153" t="s">
        <v>861</v>
      </c>
      <c r="F430" s="154">
        <v>4.5</v>
      </c>
      <c r="G430" s="153" t="s">
        <v>284</v>
      </c>
      <c r="H430" s="92"/>
      <c r="I430" s="156" t="s">
        <v>871</v>
      </c>
      <c r="J430" s="157"/>
    </row>
    <row r="431" spans="1:10" x14ac:dyDescent="0.3">
      <c r="A431" s="152" t="s">
        <v>1060</v>
      </c>
      <c r="B431" s="152">
        <v>22</v>
      </c>
      <c r="C431" s="153" t="s">
        <v>93</v>
      </c>
      <c r="D431" s="153" t="s">
        <v>861</v>
      </c>
      <c r="E431" s="153" t="s">
        <v>861</v>
      </c>
      <c r="F431" s="154">
        <v>16.600000000000001</v>
      </c>
      <c r="G431" s="153" t="s">
        <v>334</v>
      </c>
      <c r="H431" s="92"/>
      <c r="I431" s="156" t="s">
        <v>871</v>
      </c>
      <c r="J431" s="157"/>
    </row>
    <row r="432" spans="1:10" x14ac:dyDescent="0.3">
      <c r="A432" s="152" t="s">
        <v>1061</v>
      </c>
      <c r="B432" s="152">
        <v>23</v>
      </c>
      <c r="C432" s="153" t="s">
        <v>93</v>
      </c>
      <c r="D432" s="153" t="s">
        <v>861</v>
      </c>
      <c r="E432" s="153" t="s">
        <v>861</v>
      </c>
      <c r="F432" s="154">
        <v>22.8</v>
      </c>
      <c r="G432" s="153" t="s">
        <v>145</v>
      </c>
      <c r="H432" s="92"/>
      <c r="I432" s="156" t="s">
        <v>871</v>
      </c>
      <c r="J432" s="157"/>
    </row>
    <row r="433" spans="1:10" ht="15.6" x14ac:dyDescent="0.3">
      <c r="A433" s="152" t="s">
        <v>1062</v>
      </c>
      <c r="B433" s="152">
        <v>24</v>
      </c>
      <c r="C433" s="153" t="s">
        <v>183</v>
      </c>
      <c r="D433" s="153" t="s">
        <v>861</v>
      </c>
      <c r="E433" s="153" t="s">
        <v>861</v>
      </c>
      <c r="F433" s="154">
        <v>5.7</v>
      </c>
      <c r="G433" s="153" t="s">
        <v>284</v>
      </c>
      <c r="H433" s="92"/>
      <c r="I433" s="158" t="s">
        <v>874</v>
      </c>
      <c r="J433" s="157"/>
    </row>
    <row r="434" spans="1:10" ht="15.6" x14ac:dyDescent="0.3">
      <c r="A434" s="152" t="s">
        <v>1063</v>
      </c>
      <c r="B434" s="152"/>
      <c r="C434" s="153" t="s">
        <v>183</v>
      </c>
      <c r="D434" s="153" t="s">
        <v>861</v>
      </c>
      <c r="E434" s="153" t="s">
        <v>861</v>
      </c>
      <c r="F434" s="154">
        <v>10.7</v>
      </c>
      <c r="G434" s="153" t="s">
        <v>284</v>
      </c>
      <c r="H434" s="92"/>
      <c r="I434" s="158" t="s">
        <v>874</v>
      </c>
      <c r="J434" s="157"/>
    </row>
    <row r="435" spans="1:10" ht="15.6" x14ac:dyDescent="0.3">
      <c r="A435" s="152" t="s">
        <v>1064</v>
      </c>
      <c r="B435" s="152">
        <v>25</v>
      </c>
      <c r="C435" s="153" t="s">
        <v>1065</v>
      </c>
      <c r="D435" s="153" t="s">
        <v>860</v>
      </c>
      <c r="E435" s="153" t="s">
        <v>860</v>
      </c>
      <c r="F435" s="154">
        <v>11</v>
      </c>
      <c r="G435" s="153" t="s">
        <v>145</v>
      </c>
      <c r="H435" s="92"/>
      <c r="I435" s="158" t="s">
        <v>874</v>
      </c>
      <c r="J435" s="157"/>
    </row>
    <row r="436" spans="1:10" x14ac:dyDescent="0.3">
      <c r="A436" s="152" t="s">
        <v>1066</v>
      </c>
      <c r="B436" s="152"/>
      <c r="C436" s="153" t="s">
        <v>290</v>
      </c>
      <c r="D436" s="153" t="s">
        <v>860</v>
      </c>
      <c r="E436" s="153" t="s">
        <v>860</v>
      </c>
      <c r="F436" s="154">
        <v>6.7</v>
      </c>
      <c r="G436" s="153" t="s">
        <v>284</v>
      </c>
      <c r="H436" s="92"/>
      <c r="I436" s="160" t="s">
        <v>875</v>
      </c>
      <c r="J436" s="157" t="s">
        <v>890</v>
      </c>
    </row>
    <row r="437" spans="1:10" ht="15.6" x14ac:dyDescent="0.3">
      <c r="A437" s="152" t="s">
        <v>1067</v>
      </c>
      <c r="B437" s="152"/>
      <c r="C437" s="153" t="s">
        <v>1068</v>
      </c>
      <c r="D437" s="156" t="s">
        <v>859</v>
      </c>
      <c r="E437" s="156" t="s">
        <v>859</v>
      </c>
      <c r="F437" s="154">
        <v>2.5</v>
      </c>
      <c r="G437" s="153" t="s">
        <v>284</v>
      </c>
      <c r="H437" s="92"/>
      <c r="I437" s="158" t="s">
        <v>874</v>
      </c>
      <c r="J437" s="157"/>
    </row>
    <row r="438" spans="1:10" ht="15.6" x14ac:dyDescent="0.3">
      <c r="A438" s="152" t="s">
        <v>1069</v>
      </c>
      <c r="B438" s="152"/>
      <c r="C438" s="153" t="s">
        <v>1070</v>
      </c>
      <c r="D438" s="156" t="s">
        <v>859</v>
      </c>
      <c r="E438" s="156" t="s">
        <v>859</v>
      </c>
      <c r="F438" s="154">
        <v>1.3</v>
      </c>
      <c r="G438" s="153" t="s">
        <v>284</v>
      </c>
      <c r="H438" s="92"/>
      <c r="I438" s="158" t="s">
        <v>874</v>
      </c>
      <c r="J438" s="157"/>
    </row>
    <row r="439" spans="1:10" ht="15.6" x14ac:dyDescent="0.3">
      <c r="A439" s="152" t="s">
        <v>1071</v>
      </c>
      <c r="B439" s="152" t="s">
        <v>1071</v>
      </c>
      <c r="C439" s="153" t="s">
        <v>183</v>
      </c>
      <c r="D439" s="153" t="s">
        <v>861</v>
      </c>
      <c r="E439" s="153" t="s">
        <v>861</v>
      </c>
      <c r="F439" s="154">
        <v>14.1</v>
      </c>
      <c r="G439" s="153" t="s">
        <v>145</v>
      </c>
      <c r="H439" s="92"/>
      <c r="I439" s="158" t="s">
        <v>874</v>
      </c>
      <c r="J439" s="157"/>
    </row>
    <row r="440" spans="1:10" x14ac:dyDescent="0.3">
      <c r="A440" s="152" t="s">
        <v>1072</v>
      </c>
      <c r="B440" s="152"/>
      <c r="C440" s="153" t="s">
        <v>1073</v>
      </c>
      <c r="D440" s="153" t="s">
        <v>860</v>
      </c>
      <c r="E440" s="153" t="s">
        <v>860</v>
      </c>
      <c r="F440" s="154">
        <v>2.2999999999999998</v>
      </c>
      <c r="G440" s="153" t="s">
        <v>145</v>
      </c>
      <c r="H440" s="92"/>
      <c r="I440" s="160" t="s">
        <v>875</v>
      </c>
      <c r="J440" s="157" t="s">
        <v>890</v>
      </c>
    </row>
    <row r="441" spans="1:10" x14ac:dyDescent="0.3">
      <c r="A441" s="152" t="s">
        <v>1074</v>
      </c>
      <c r="B441" s="152" t="s">
        <v>1075</v>
      </c>
      <c r="C441" s="153" t="s">
        <v>1076</v>
      </c>
      <c r="D441" s="153" t="s">
        <v>870</v>
      </c>
      <c r="E441" s="153" t="s">
        <v>870</v>
      </c>
      <c r="F441" s="154">
        <v>11.32</v>
      </c>
      <c r="G441" s="153" t="s">
        <v>145</v>
      </c>
      <c r="H441" s="92"/>
      <c r="I441" s="156" t="s">
        <v>871</v>
      </c>
      <c r="J441" s="157"/>
    </row>
    <row r="442" spans="1:10" x14ac:dyDescent="0.3">
      <c r="A442" s="152" t="s">
        <v>1077</v>
      </c>
      <c r="B442" s="152" t="s">
        <v>1078</v>
      </c>
      <c r="C442" s="153" t="s">
        <v>322</v>
      </c>
      <c r="D442" s="153" t="s">
        <v>870</v>
      </c>
      <c r="E442" s="153" t="s">
        <v>870</v>
      </c>
      <c r="F442" s="154">
        <v>10.8</v>
      </c>
      <c r="G442" s="153" t="s">
        <v>145</v>
      </c>
      <c r="H442" s="92"/>
      <c r="I442" s="156" t="s">
        <v>871</v>
      </c>
      <c r="J442" s="157"/>
    </row>
    <row r="443" spans="1:10" ht="15.6" x14ac:dyDescent="0.3">
      <c r="A443" s="152" t="s">
        <v>1079</v>
      </c>
      <c r="B443" s="152" t="s">
        <v>1079</v>
      </c>
      <c r="C443" s="153" t="s">
        <v>183</v>
      </c>
      <c r="D443" s="153" t="s">
        <v>861</v>
      </c>
      <c r="E443" s="153" t="s">
        <v>861</v>
      </c>
      <c r="F443" s="154">
        <v>31.5</v>
      </c>
      <c r="G443" s="153" t="s">
        <v>284</v>
      </c>
      <c r="H443" s="92"/>
      <c r="I443" s="158" t="s">
        <v>874</v>
      </c>
      <c r="J443" s="157"/>
    </row>
    <row r="444" spans="1:10" x14ac:dyDescent="0.3">
      <c r="A444" s="152" t="s">
        <v>1080</v>
      </c>
      <c r="B444" s="152" t="s">
        <v>1080</v>
      </c>
      <c r="C444" s="49" t="s">
        <v>1073</v>
      </c>
      <c r="D444" s="49" t="s">
        <v>860</v>
      </c>
      <c r="E444" s="49" t="s">
        <v>860</v>
      </c>
      <c r="F444" s="154">
        <v>11</v>
      </c>
      <c r="G444" s="49" t="s">
        <v>120</v>
      </c>
      <c r="H444" s="92"/>
      <c r="I444" s="160" t="s">
        <v>875</v>
      </c>
      <c r="J444" s="157" t="s">
        <v>890</v>
      </c>
    </row>
    <row r="445" spans="1:10" x14ac:dyDescent="0.3">
      <c r="A445" s="152" t="s">
        <v>1081</v>
      </c>
      <c r="B445" s="152" t="s">
        <v>1081</v>
      </c>
      <c r="C445" s="153" t="s">
        <v>183</v>
      </c>
      <c r="D445" s="153" t="s">
        <v>861</v>
      </c>
      <c r="E445" s="153" t="s">
        <v>861</v>
      </c>
      <c r="F445" s="154">
        <v>34.200000000000003</v>
      </c>
      <c r="G445" s="153" t="s">
        <v>145</v>
      </c>
      <c r="H445" s="92"/>
      <c r="I445" s="156" t="s">
        <v>871</v>
      </c>
      <c r="J445" s="157"/>
    </row>
    <row r="446" spans="1:10" x14ac:dyDescent="0.3">
      <c r="A446" s="152" t="s">
        <v>1082</v>
      </c>
      <c r="B446" s="152" t="s">
        <v>1082</v>
      </c>
      <c r="C446" s="153" t="s">
        <v>288</v>
      </c>
      <c r="D446" s="153" t="s">
        <v>860</v>
      </c>
      <c r="E446" s="153" t="s">
        <v>860</v>
      </c>
      <c r="F446" s="154">
        <v>11.1</v>
      </c>
      <c r="G446" s="153" t="s">
        <v>145</v>
      </c>
      <c r="H446" s="92"/>
      <c r="I446" s="156" t="s">
        <v>871</v>
      </c>
      <c r="J446" s="157" t="s">
        <v>890</v>
      </c>
    </row>
    <row r="447" spans="1:10" ht="15.6" x14ac:dyDescent="0.3">
      <c r="A447" s="152" t="s">
        <v>1083</v>
      </c>
      <c r="B447" s="152" t="s">
        <v>1083</v>
      </c>
      <c r="C447" s="153" t="s">
        <v>183</v>
      </c>
      <c r="D447" s="153" t="s">
        <v>861</v>
      </c>
      <c r="E447" s="153" t="s">
        <v>861</v>
      </c>
      <c r="F447" s="154">
        <v>34.9</v>
      </c>
      <c r="G447" s="153" t="s">
        <v>284</v>
      </c>
      <c r="H447" s="92"/>
      <c r="I447" s="158" t="s">
        <v>874</v>
      </c>
      <c r="J447" s="157"/>
    </row>
    <row r="448" spans="1:10" x14ac:dyDescent="0.3">
      <c r="A448" s="152" t="s">
        <v>1084</v>
      </c>
      <c r="B448" s="152" t="s">
        <v>1084</v>
      </c>
      <c r="C448" s="153" t="s">
        <v>93</v>
      </c>
      <c r="D448" s="153" t="s">
        <v>861</v>
      </c>
      <c r="E448" s="153" t="s">
        <v>861</v>
      </c>
      <c r="F448" s="154">
        <v>23.5</v>
      </c>
      <c r="G448" s="153" t="s">
        <v>145</v>
      </c>
      <c r="H448" s="92"/>
      <c r="I448" s="156" t="s">
        <v>871</v>
      </c>
      <c r="J448" s="157"/>
    </row>
    <row r="449" spans="1:10" ht="15.6" x14ac:dyDescent="0.3">
      <c r="A449" s="152" t="s">
        <v>1085</v>
      </c>
      <c r="B449" s="152" t="s">
        <v>1085</v>
      </c>
      <c r="C449" s="153" t="s">
        <v>183</v>
      </c>
      <c r="D449" s="153" t="s">
        <v>861</v>
      </c>
      <c r="E449" s="153" t="s">
        <v>861</v>
      </c>
      <c r="F449" s="154">
        <v>17</v>
      </c>
      <c r="G449" s="153" t="s">
        <v>284</v>
      </c>
      <c r="H449" s="92"/>
      <c r="I449" s="158" t="s">
        <v>874</v>
      </c>
      <c r="J449" s="157"/>
    </row>
    <row r="450" spans="1:10" x14ac:dyDescent="0.3">
      <c r="A450" s="152" t="s">
        <v>1086</v>
      </c>
      <c r="B450" s="152" t="s">
        <v>1086</v>
      </c>
      <c r="C450" s="153" t="s">
        <v>1087</v>
      </c>
      <c r="D450" s="153" t="s">
        <v>860</v>
      </c>
      <c r="E450" s="153" t="s">
        <v>860</v>
      </c>
      <c r="F450" s="154">
        <v>11.2</v>
      </c>
      <c r="G450" s="153" t="s">
        <v>145</v>
      </c>
      <c r="H450" s="92"/>
      <c r="I450" s="160" t="s">
        <v>875</v>
      </c>
      <c r="J450" s="157" t="s">
        <v>890</v>
      </c>
    </row>
    <row r="451" spans="1:10" x14ac:dyDescent="0.3">
      <c r="A451" s="152" t="s">
        <v>1088</v>
      </c>
      <c r="B451" s="152" t="s">
        <v>1088</v>
      </c>
      <c r="C451" s="153" t="s">
        <v>183</v>
      </c>
      <c r="D451" s="153" t="s">
        <v>861</v>
      </c>
      <c r="E451" s="153" t="s">
        <v>861</v>
      </c>
      <c r="F451" s="154">
        <v>16.2</v>
      </c>
      <c r="G451" s="153" t="s">
        <v>145</v>
      </c>
      <c r="H451" s="92"/>
      <c r="I451" s="156" t="s">
        <v>871</v>
      </c>
      <c r="J451" s="157"/>
    </row>
    <row r="452" spans="1:10" x14ac:dyDescent="0.3">
      <c r="A452" s="152" t="s">
        <v>1089</v>
      </c>
      <c r="B452" s="152" t="s">
        <v>1089</v>
      </c>
      <c r="C452" s="153" t="s">
        <v>183</v>
      </c>
      <c r="D452" s="153" t="s">
        <v>861</v>
      </c>
      <c r="E452" s="153" t="s">
        <v>861</v>
      </c>
      <c r="F452" s="154">
        <v>14.7</v>
      </c>
      <c r="G452" s="153" t="s">
        <v>145</v>
      </c>
      <c r="H452" s="92"/>
      <c r="I452" s="156" t="s">
        <v>871</v>
      </c>
      <c r="J452" s="157"/>
    </row>
    <row r="453" spans="1:10" x14ac:dyDescent="0.3">
      <c r="A453" s="152" t="s">
        <v>1090</v>
      </c>
      <c r="B453" s="152" t="s">
        <v>1090</v>
      </c>
      <c r="C453" s="153" t="s">
        <v>183</v>
      </c>
      <c r="D453" s="153" t="s">
        <v>861</v>
      </c>
      <c r="E453" s="153" t="s">
        <v>861</v>
      </c>
      <c r="F453" s="154">
        <v>15.3</v>
      </c>
      <c r="G453" s="153" t="s">
        <v>145</v>
      </c>
      <c r="H453" s="92"/>
      <c r="I453" s="156" t="s">
        <v>871</v>
      </c>
      <c r="J453" s="157"/>
    </row>
    <row r="454" spans="1:10" ht="15.6" x14ac:dyDescent="0.3">
      <c r="A454" s="152" t="s">
        <v>1091</v>
      </c>
      <c r="B454" s="152" t="s">
        <v>1091</v>
      </c>
      <c r="C454" s="153" t="s">
        <v>183</v>
      </c>
      <c r="D454" s="153" t="s">
        <v>861</v>
      </c>
      <c r="E454" s="153" t="s">
        <v>861</v>
      </c>
      <c r="F454" s="154">
        <v>11.7</v>
      </c>
      <c r="G454" s="153" t="s">
        <v>145</v>
      </c>
      <c r="H454" s="92"/>
      <c r="I454" s="158" t="s">
        <v>874</v>
      </c>
      <c r="J454" s="157"/>
    </row>
    <row r="455" spans="1:10" ht="15.6" x14ac:dyDescent="0.3">
      <c r="A455" s="152" t="s">
        <v>1092</v>
      </c>
      <c r="B455" s="152" t="s">
        <v>1092</v>
      </c>
      <c r="C455" s="153" t="s">
        <v>183</v>
      </c>
      <c r="D455" s="153" t="s">
        <v>861</v>
      </c>
      <c r="E455" s="153" t="s">
        <v>861</v>
      </c>
      <c r="F455" s="154">
        <v>17.2</v>
      </c>
      <c r="G455" s="153" t="s">
        <v>145</v>
      </c>
      <c r="H455" s="92"/>
      <c r="I455" s="158" t="s">
        <v>874</v>
      </c>
      <c r="J455" s="157"/>
    </row>
    <row r="456" spans="1:10" ht="15.6" x14ac:dyDescent="0.3">
      <c r="A456" s="61" t="s">
        <v>1093</v>
      </c>
      <c r="B456" s="61" t="s">
        <v>1093</v>
      </c>
      <c r="C456" s="153" t="s">
        <v>183</v>
      </c>
      <c r="D456" s="153" t="s">
        <v>861</v>
      </c>
      <c r="E456" s="153" t="s">
        <v>861</v>
      </c>
      <c r="F456" s="48">
        <v>15.4</v>
      </c>
      <c r="G456" s="153" t="s">
        <v>145</v>
      </c>
      <c r="H456" s="92"/>
      <c r="I456" s="158" t="s">
        <v>874</v>
      </c>
      <c r="J456" s="157"/>
    </row>
    <row r="457" spans="1:10" ht="15.6" x14ac:dyDescent="0.3">
      <c r="A457" s="152" t="s">
        <v>1094</v>
      </c>
      <c r="B457" s="152" t="s">
        <v>1094</v>
      </c>
      <c r="C457" s="153" t="s">
        <v>209</v>
      </c>
      <c r="D457" s="153" t="s">
        <v>860</v>
      </c>
      <c r="E457" s="153" t="s">
        <v>860</v>
      </c>
      <c r="F457" s="154">
        <v>2.8</v>
      </c>
      <c r="G457" s="153" t="s">
        <v>120</v>
      </c>
      <c r="H457" s="92"/>
      <c r="I457" s="158" t="s">
        <v>874</v>
      </c>
      <c r="J457" s="157"/>
    </row>
    <row r="458" spans="1:10" ht="15.6" x14ac:dyDescent="0.3">
      <c r="A458" s="152" t="s">
        <v>1095</v>
      </c>
      <c r="B458" s="152" t="s">
        <v>1095</v>
      </c>
      <c r="C458" s="153" t="s">
        <v>1005</v>
      </c>
      <c r="D458" s="153" t="s">
        <v>860</v>
      </c>
      <c r="E458" s="153" t="s">
        <v>860</v>
      </c>
      <c r="F458" s="154">
        <v>14.6</v>
      </c>
      <c r="G458" s="153" t="s">
        <v>230</v>
      </c>
      <c r="H458" s="92"/>
      <c r="I458" s="158" t="s">
        <v>874</v>
      </c>
      <c r="J458" s="157" t="s">
        <v>890</v>
      </c>
    </row>
    <row r="459" spans="1:10" ht="15.6" x14ac:dyDescent="0.3">
      <c r="A459" s="152" t="s">
        <v>1096</v>
      </c>
      <c r="B459" s="152" t="s">
        <v>1096</v>
      </c>
      <c r="C459" s="153" t="s">
        <v>209</v>
      </c>
      <c r="D459" s="153" t="s">
        <v>860</v>
      </c>
      <c r="E459" s="153" t="s">
        <v>860</v>
      </c>
      <c r="F459" s="154">
        <v>3</v>
      </c>
      <c r="G459" s="153" t="s">
        <v>284</v>
      </c>
      <c r="H459" s="92"/>
      <c r="I459" s="158" t="s">
        <v>874</v>
      </c>
      <c r="J459" s="157"/>
    </row>
    <row r="460" spans="1:10" x14ac:dyDescent="0.3">
      <c r="A460" s="152" t="s">
        <v>1097</v>
      </c>
      <c r="B460" s="152" t="s">
        <v>1097</v>
      </c>
      <c r="C460" s="153" t="s">
        <v>1098</v>
      </c>
      <c r="D460" s="153" t="s">
        <v>860</v>
      </c>
      <c r="E460" s="153" t="s">
        <v>860</v>
      </c>
      <c r="F460" s="154">
        <v>12.4</v>
      </c>
      <c r="G460" s="153" t="s">
        <v>120</v>
      </c>
      <c r="H460" s="92"/>
      <c r="I460" s="156" t="s">
        <v>871</v>
      </c>
      <c r="J460" s="157"/>
    </row>
    <row r="461" spans="1:10" x14ac:dyDescent="0.3">
      <c r="A461" s="152" t="s">
        <v>1099</v>
      </c>
      <c r="B461" s="152" t="s">
        <v>1099</v>
      </c>
      <c r="C461" s="153" t="s">
        <v>93</v>
      </c>
      <c r="D461" s="153" t="s">
        <v>860</v>
      </c>
      <c r="E461" s="153" t="s">
        <v>860</v>
      </c>
      <c r="F461" s="154">
        <v>4.9000000000000004</v>
      </c>
      <c r="G461" s="153" t="s">
        <v>120</v>
      </c>
      <c r="H461" s="92"/>
      <c r="I461" s="156" t="s">
        <v>871</v>
      </c>
      <c r="J461" s="157"/>
    </row>
    <row r="462" spans="1:10" x14ac:dyDescent="0.3">
      <c r="A462" s="152" t="s">
        <v>1100</v>
      </c>
      <c r="B462" s="152" t="s">
        <v>1100</v>
      </c>
      <c r="C462" s="153" t="s">
        <v>183</v>
      </c>
      <c r="D462" s="153" t="s">
        <v>861</v>
      </c>
      <c r="E462" s="153" t="s">
        <v>861</v>
      </c>
      <c r="F462" s="154">
        <v>11.1</v>
      </c>
      <c r="G462" s="153" t="s">
        <v>284</v>
      </c>
      <c r="H462" s="92"/>
      <c r="I462" s="156" t="s">
        <v>871</v>
      </c>
      <c r="J462" s="157"/>
    </row>
    <row r="463" spans="1:10" ht="15.6" x14ac:dyDescent="0.3">
      <c r="A463" s="152" t="s">
        <v>1101</v>
      </c>
      <c r="B463" s="152"/>
      <c r="C463" s="153" t="s">
        <v>183</v>
      </c>
      <c r="D463" s="153" t="s">
        <v>861</v>
      </c>
      <c r="E463" s="153" t="s">
        <v>861</v>
      </c>
      <c r="F463" s="154">
        <v>6</v>
      </c>
      <c r="G463" s="153" t="s">
        <v>284</v>
      </c>
      <c r="H463" s="92"/>
      <c r="I463" s="158" t="s">
        <v>874</v>
      </c>
      <c r="J463" s="157"/>
    </row>
    <row r="464" spans="1:10" ht="15.6" x14ac:dyDescent="0.3">
      <c r="A464" s="152" t="s">
        <v>1102</v>
      </c>
      <c r="B464" s="152" t="s">
        <v>1102</v>
      </c>
      <c r="C464" s="153" t="s">
        <v>183</v>
      </c>
      <c r="D464" s="153" t="s">
        <v>861</v>
      </c>
      <c r="E464" s="153" t="s">
        <v>861</v>
      </c>
      <c r="F464" s="154">
        <v>12.2</v>
      </c>
      <c r="G464" s="153" t="s">
        <v>145</v>
      </c>
      <c r="H464" s="92"/>
      <c r="I464" s="158" t="s">
        <v>874</v>
      </c>
      <c r="J464" s="157"/>
    </row>
    <row r="465" spans="1:10" x14ac:dyDescent="0.3">
      <c r="A465" s="152" t="s">
        <v>1103</v>
      </c>
      <c r="B465" s="152" t="s">
        <v>1103</v>
      </c>
      <c r="C465" s="153" t="s">
        <v>93</v>
      </c>
      <c r="D465" s="161" t="s">
        <v>861</v>
      </c>
      <c r="E465" s="153" t="s">
        <v>861</v>
      </c>
      <c r="F465" s="154">
        <v>10.1</v>
      </c>
      <c r="G465" s="153" t="s">
        <v>145</v>
      </c>
      <c r="H465" s="92"/>
      <c r="I465" s="156" t="s">
        <v>871</v>
      </c>
      <c r="J465" s="157"/>
    </row>
    <row r="466" spans="1:10" x14ac:dyDescent="0.3">
      <c r="A466" s="152" t="s">
        <v>1104</v>
      </c>
      <c r="B466" s="152" t="s">
        <v>1104</v>
      </c>
      <c r="C466" s="153" t="s">
        <v>1098</v>
      </c>
      <c r="D466" s="153" t="s">
        <v>860</v>
      </c>
      <c r="E466" s="153" t="s">
        <v>860</v>
      </c>
      <c r="F466" s="154">
        <v>16.2</v>
      </c>
      <c r="G466" s="153" t="s">
        <v>145</v>
      </c>
      <c r="H466" s="92"/>
      <c r="I466" s="156" t="s">
        <v>871</v>
      </c>
      <c r="J466" s="157"/>
    </row>
    <row r="467" spans="1:10" ht="15.6" x14ac:dyDescent="0.3">
      <c r="A467" s="152" t="s">
        <v>1105</v>
      </c>
      <c r="B467" s="152" t="s">
        <v>1105</v>
      </c>
      <c r="C467" s="153" t="s">
        <v>183</v>
      </c>
      <c r="D467" s="153" t="s">
        <v>861</v>
      </c>
      <c r="E467" s="153" t="s">
        <v>860</v>
      </c>
      <c r="F467" s="154">
        <v>22.49</v>
      </c>
      <c r="G467" s="153" t="s">
        <v>1106</v>
      </c>
      <c r="H467" s="92"/>
      <c r="I467" s="158" t="s">
        <v>874</v>
      </c>
      <c r="J467" s="157"/>
    </row>
    <row r="468" spans="1:10" x14ac:dyDescent="0.3">
      <c r="A468" s="152" t="s">
        <v>1107</v>
      </c>
      <c r="B468" s="152" t="s">
        <v>1107</v>
      </c>
      <c r="C468" s="153" t="s">
        <v>183</v>
      </c>
      <c r="D468" s="153" t="s">
        <v>861</v>
      </c>
      <c r="E468" s="153" t="s">
        <v>861</v>
      </c>
      <c r="F468" s="154">
        <v>14.9</v>
      </c>
      <c r="G468" s="153" t="s">
        <v>145</v>
      </c>
      <c r="H468" s="178"/>
      <c r="I468" s="156" t="s">
        <v>871</v>
      </c>
      <c r="J468" s="157"/>
    </row>
    <row r="469" spans="1:10" x14ac:dyDescent="0.3">
      <c r="A469" s="152" t="s">
        <v>1108</v>
      </c>
      <c r="B469" s="152"/>
      <c r="C469" s="153" t="s">
        <v>209</v>
      </c>
      <c r="D469" s="153" t="s">
        <v>861</v>
      </c>
      <c r="E469" s="153" t="s">
        <v>861</v>
      </c>
      <c r="F469" s="154">
        <v>0.9</v>
      </c>
      <c r="G469" s="153" t="s">
        <v>334</v>
      </c>
      <c r="H469" s="178"/>
      <c r="I469" s="156" t="s">
        <v>871</v>
      </c>
      <c r="J469" s="157"/>
    </row>
    <row r="470" spans="1:10" x14ac:dyDescent="0.3">
      <c r="A470" s="152" t="s">
        <v>1109</v>
      </c>
      <c r="B470" s="152"/>
      <c r="C470" s="153" t="s">
        <v>198</v>
      </c>
      <c r="D470" s="153" t="s">
        <v>861</v>
      </c>
      <c r="E470" s="153" t="s">
        <v>861</v>
      </c>
      <c r="F470" s="154">
        <v>7.8</v>
      </c>
      <c r="G470" s="153" t="s">
        <v>334</v>
      </c>
      <c r="H470" s="178"/>
      <c r="I470" s="156" t="s">
        <v>871</v>
      </c>
      <c r="J470" s="157"/>
    </row>
    <row r="471" spans="1:10" x14ac:dyDescent="0.3">
      <c r="A471" s="152" t="s">
        <v>1110</v>
      </c>
      <c r="B471" s="152"/>
      <c r="C471" s="153" t="s">
        <v>183</v>
      </c>
      <c r="D471" s="153" t="s">
        <v>861</v>
      </c>
      <c r="E471" s="153" t="s">
        <v>861</v>
      </c>
      <c r="F471" s="154">
        <v>8.1999999999999993</v>
      </c>
      <c r="G471" s="153" t="s">
        <v>334</v>
      </c>
      <c r="H471" s="178"/>
      <c r="I471" s="156" t="s">
        <v>871</v>
      </c>
      <c r="J471" s="157"/>
    </row>
    <row r="472" spans="1:10" x14ac:dyDescent="0.3">
      <c r="A472" s="152" t="s">
        <v>1111</v>
      </c>
      <c r="B472" s="152"/>
      <c r="C472" s="153" t="s">
        <v>209</v>
      </c>
      <c r="D472" s="153" t="s">
        <v>861</v>
      </c>
      <c r="E472" s="153" t="s">
        <v>861</v>
      </c>
      <c r="F472" s="154">
        <v>0.9</v>
      </c>
      <c r="G472" s="153" t="s">
        <v>334</v>
      </c>
      <c r="H472" s="178"/>
      <c r="I472" s="156" t="s">
        <v>871</v>
      </c>
      <c r="J472" s="157"/>
    </row>
    <row r="473" spans="1:10" x14ac:dyDescent="0.3">
      <c r="A473" s="152" t="s">
        <v>1112</v>
      </c>
      <c r="B473" s="152" t="s">
        <v>1112</v>
      </c>
      <c r="C473" s="153" t="s">
        <v>183</v>
      </c>
      <c r="D473" s="153" t="s">
        <v>861</v>
      </c>
      <c r="E473" s="153" t="s">
        <v>861</v>
      </c>
      <c r="F473" s="154">
        <v>22.4</v>
      </c>
      <c r="G473" s="153" t="s">
        <v>145</v>
      </c>
      <c r="H473" s="178"/>
      <c r="I473" s="156" t="s">
        <v>871</v>
      </c>
      <c r="J473" s="157"/>
    </row>
    <row r="474" spans="1:10" x14ac:dyDescent="0.3">
      <c r="A474" s="152" t="s">
        <v>1113</v>
      </c>
      <c r="B474" s="152"/>
      <c r="C474" s="153" t="s">
        <v>186</v>
      </c>
      <c r="D474" s="153" t="s">
        <v>860</v>
      </c>
      <c r="E474" s="153" t="s">
        <v>860</v>
      </c>
      <c r="F474" s="154">
        <v>34.9</v>
      </c>
      <c r="G474" s="153" t="s">
        <v>120</v>
      </c>
      <c r="H474" s="178"/>
      <c r="I474" s="160" t="s">
        <v>875</v>
      </c>
      <c r="J474" s="157" t="s">
        <v>890</v>
      </c>
    </row>
    <row r="475" spans="1:10" x14ac:dyDescent="0.3">
      <c r="A475" s="152" t="s">
        <v>1114</v>
      </c>
      <c r="B475" s="152"/>
      <c r="C475" s="153" t="s">
        <v>1115</v>
      </c>
      <c r="D475" s="153" t="s">
        <v>860</v>
      </c>
      <c r="E475" s="153" t="s">
        <v>860</v>
      </c>
      <c r="F475" s="154">
        <v>69.8</v>
      </c>
      <c r="G475" s="153" t="s">
        <v>120</v>
      </c>
      <c r="H475" s="178"/>
      <c r="I475" s="160" t="s">
        <v>875</v>
      </c>
      <c r="J475" s="157" t="s">
        <v>890</v>
      </c>
    </row>
    <row r="476" spans="1:10" x14ac:dyDescent="0.3">
      <c r="A476" s="152" t="s">
        <v>1116</v>
      </c>
      <c r="B476" s="152"/>
      <c r="C476" s="49" t="s">
        <v>93</v>
      </c>
      <c r="D476" s="71" t="s">
        <v>860</v>
      </c>
      <c r="E476" s="153" t="s">
        <v>860</v>
      </c>
      <c r="F476" s="154">
        <v>13.9</v>
      </c>
      <c r="G476" s="49" t="s">
        <v>120</v>
      </c>
      <c r="H476" s="178"/>
      <c r="I476" s="160" t="s">
        <v>875</v>
      </c>
      <c r="J476" s="157"/>
    </row>
    <row r="477" spans="1:10" x14ac:dyDescent="0.3">
      <c r="A477" s="152" t="s">
        <v>1117</v>
      </c>
      <c r="B477" s="152"/>
      <c r="C477" s="153" t="s">
        <v>1005</v>
      </c>
      <c r="D477" s="153" t="s">
        <v>860</v>
      </c>
      <c r="E477" s="153" t="s">
        <v>860</v>
      </c>
      <c r="F477" s="154">
        <v>16</v>
      </c>
      <c r="G477" s="153" t="s">
        <v>120</v>
      </c>
      <c r="H477" s="178"/>
      <c r="I477" s="160" t="s">
        <v>875</v>
      </c>
      <c r="J477" s="157" t="s">
        <v>890</v>
      </c>
    </row>
    <row r="478" spans="1:10" x14ac:dyDescent="0.3">
      <c r="A478" s="152" t="s">
        <v>1118</v>
      </c>
      <c r="B478" s="152" t="s">
        <v>1118</v>
      </c>
      <c r="C478" s="153" t="s">
        <v>1119</v>
      </c>
      <c r="D478" s="153" t="s">
        <v>861</v>
      </c>
      <c r="E478" s="153" t="s">
        <v>861</v>
      </c>
      <c r="F478" s="154">
        <v>18.399999999999999</v>
      </c>
      <c r="G478" s="153" t="s">
        <v>284</v>
      </c>
      <c r="H478" s="178"/>
      <c r="I478" s="156" t="s">
        <v>871</v>
      </c>
      <c r="J478" s="157"/>
    </row>
    <row r="479" spans="1:10" x14ac:dyDescent="0.3">
      <c r="A479" s="152" t="s">
        <v>1120</v>
      </c>
      <c r="B479" s="152"/>
      <c r="C479" s="153" t="s">
        <v>93</v>
      </c>
      <c r="D479" s="153" t="s">
        <v>861</v>
      </c>
      <c r="E479" s="153" t="s">
        <v>861</v>
      </c>
      <c r="F479" s="154">
        <v>7.3</v>
      </c>
      <c r="G479" s="153" t="s">
        <v>284</v>
      </c>
      <c r="H479" s="178"/>
      <c r="I479" s="156" t="s">
        <v>871</v>
      </c>
      <c r="J479" s="157"/>
    </row>
    <row r="480" spans="1:10" x14ac:dyDescent="0.3">
      <c r="A480" s="152" t="s">
        <v>1121</v>
      </c>
      <c r="B480" s="152"/>
      <c r="C480" s="153" t="s">
        <v>93</v>
      </c>
      <c r="D480" s="153" t="s">
        <v>861</v>
      </c>
      <c r="E480" s="153" t="s">
        <v>861</v>
      </c>
      <c r="F480" s="154">
        <v>3.5</v>
      </c>
      <c r="G480" s="153" t="s">
        <v>284</v>
      </c>
      <c r="H480" s="178"/>
      <c r="I480" s="156" t="s">
        <v>871</v>
      </c>
      <c r="J480" s="157"/>
    </row>
    <row r="481" spans="1:13" x14ac:dyDescent="0.3">
      <c r="A481" s="152" t="s">
        <v>1122</v>
      </c>
      <c r="B481" s="152"/>
      <c r="C481" s="153" t="s">
        <v>93</v>
      </c>
      <c r="D481" s="153" t="s">
        <v>861</v>
      </c>
      <c r="E481" s="153" t="s">
        <v>861</v>
      </c>
      <c r="F481" s="154">
        <v>9.08</v>
      </c>
      <c r="G481" s="153" t="s">
        <v>120</v>
      </c>
      <c r="H481" s="178"/>
      <c r="I481" s="156" t="s">
        <v>871</v>
      </c>
      <c r="J481" s="157"/>
    </row>
    <row r="482" spans="1:13" x14ac:dyDescent="0.3">
      <c r="A482" s="152" t="s">
        <v>1123</v>
      </c>
      <c r="B482" s="152"/>
      <c r="C482" s="153" t="s">
        <v>186</v>
      </c>
      <c r="D482" s="153" t="s">
        <v>860</v>
      </c>
      <c r="E482" s="153" t="s">
        <v>860</v>
      </c>
      <c r="F482" s="154">
        <v>69.7</v>
      </c>
      <c r="G482" s="153" t="s">
        <v>120</v>
      </c>
      <c r="H482" s="178"/>
      <c r="I482" s="160" t="s">
        <v>875</v>
      </c>
      <c r="J482" s="157" t="s">
        <v>890</v>
      </c>
    </row>
    <row r="483" spans="1:13" ht="15.6" x14ac:dyDescent="0.3">
      <c r="A483" s="152" t="s">
        <v>1124</v>
      </c>
      <c r="B483" s="152"/>
      <c r="C483" s="153" t="s">
        <v>862</v>
      </c>
      <c r="D483" s="153" t="s">
        <v>862</v>
      </c>
      <c r="E483" s="153" t="s">
        <v>862</v>
      </c>
      <c r="F483" s="154">
        <v>1.2</v>
      </c>
      <c r="G483" s="153"/>
      <c r="H483" s="178"/>
      <c r="I483" s="158" t="s">
        <v>874</v>
      </c>
      <c r="J483" s="157"/>
    </row>
    <row r="484" spans="1:13" ht="15.6" x14ac:dyDescent="0.3">
      <c r="A484" s="152" t="s">
        <v>1125</v>
      </c>
      <c r="B484" s="152"/>
      <c r="C484" s="153" t="s">
        <v>862</v>
      </c>
      <c r="D484" s="153" t="s">
        <v>862</v>
      </c>
      <c r="E484" s="153" t="s">
        <v>862</v>
      </c>
      <c r="F484" s="154">
        <v>1.2</v>
      </c>
      <c r="G484" s="153"/>
      <c r="H484" s="178"/>
      <c r="I484" s="158" t="s">
        <v>874</v>
      </c>
      <c r="J484" s="157"/>
    </row>
    <row r="485" spans="1:13" ht="15.6" x14ac:dyDescent="0.3">
      <c r="A485" s="152" t="s">
        <v>1126</v>
      </c>
      <c r="B485" s="152"/>
      <c r="C485" s="153" t="s">
        <v>862</v>
      </c>
      <c r="D485" s="153" t="s">
        <v>862</v>
      </c>
      <c r="E485" s="153" t="s">
        <v>862</v>
      </c>
      <c r="F485" s="154">
        <v>1.65</v>
      </c>
      <c r="G485" s="153"/>
      <c r="H485" s="178"/>
      <c r="I485" s="158" t="s">
        <v>874</v>
      </c>
      <c r="J485" s="157"/>
    </row>
    <row r="486" spans="1:13" ht="15.6" x14ac:dyDescent="0.3">
      <c r="A486" s="152" t="s">
        <v>1127</v>
      </c>
      <c r="B486" s="152"/>
      <c r="C486" s="153" t="s">
        <v>86</v>
      </c>
      <c r="D486" s="153" t="s">
        <v>860</v>
      </c>
      <c r="E486" s="153" t="s">
        <v>860</v>
      </c>
      <c r="F486" s="154">
        <v>360</v>
      </c>
      <c r="G486" s="153" t="s">
        <v>284</v>
      </c>
      <c r="H486" s="178"/>
      <c r="I486" s="158" t="s">
        <v>874</v>
      </c>
      <c r="J486" s="157"/>
    </row>
    <row r="487" spans="1:13" ht="16.2" thickBot="1" x14ac:dyDescent="0.35">
      <c r="A487" s="176" t="s">
        <v>1128</v>
      </c>
      <c r="B487" s="176"/>
      <c r="C487" s="161" t="s">
        <v>86</v>
      </c>
      <c r="D487" s="161" t="s">
        <v>860</v>
      </c>
      <c r="E487" s="161" t="s">
        <v>860</v>
      </c>
      <c r="F487" s="170">
        <v>23.97</v>
      </c>
      <c r="G487" s="161" t="s">
        <v>284</v>
      </c>
      <c r="H487" s="179"/>
      <c r="I487" s="158" t="s">
        <v>874</v>
      </c>
      <c r="J487" s="157"/>
    </row>
    <row r="488" spans="1:13" ht="15" thickBot="1" x14ac:dyDescent="0.35">
      <c r="A488" s="72" t="s">
        <v>57</v>
      </c>
      <c r="B488" s="73"/>
      <c r="C488" s="74"/>
      <c r="D488" s="74"/>
      <c r="E488" s="74"/>
      <c r="F488" s="75">
        <f>SUM(F402:F487)</f>
        <v>1590.1100000000006</v>
      </c>
      <c r="G488" s="180"/>
      <c r="H488" s="76"/>
      <c r="I488" s="77"/>
      <c r="J488" s="157"/>
    </row>
    <row r="489" spans="1:13" ht="15" thickBot="1" x14ac:dyDescent="0.35">
      <c r="A489" s="175"/>
      <c r="B489" s="157"/>
      <c r="C489" s="163"/>
      <c r="D489" s="163"/>
      <c r="E489" s="163"/>
      <c r="F489" s="164"/>
      <c r="G489" s="157"/>
      <c r="H489" s="157"/>
      <c r="I489" s="165"/>
      <c r="J489" s="157"/>
    </row>
    <row r="490" spans="1:13" ht="18.600000000000001" thickTop="1" thickBot="1" x14ac:dyDescent="0.35">
      <c r="A490" s="78" t="s">
        <v>1129</v>
      </c>
      <c r="B490" s="78"/>
      <c r="C490" s="78"/>
      <c r="D490" s="78"/>
      <c r="E490" s="78"/>
      <c r="F490" s="79"/>
      <c r="G490" s="78"/>
      <c r="H490" s="78"/>
      <c r="I490" s="80"/>
      <c r="J490" s="181"/>
    </row>
    <row r="491" spans="1:13" ht="32.4" thickTop="1" thickBot="1" x14ac:dyDescent="0.35">
      <c r="A491" s="81" t="s">
        <v>70</v>
      </c>
      <c r="B491" s="81" t="s">
        <v>70</v>
      </c>
      <c r="C491" s="81" t="s">
        <v>72</v>
      </c>
      <c r="D491" s="149" t="s">
        <v>864</v>
      </c>
      <c r="E491" s="149" t="s">
        <v>865</v>
      </c>
      <c r="F491" s="82" t="s">
        <v>73</v>
      </c>
      <c r="G491" s="83" t="s">
        <v>74</v>
      </c>
      <c r="H491" s="81" t="s">
        <v>75</v>
      </c>
      <c r="I491" s="84" t="s">
        <v>1130</v>
      </c>
      <c r="J491" s="85" t="s">
        <v>77</v>
      </c>
    </row>
    <row r="492" spans="1:13" ht="15" thickTop="1" x14ac:dyDescent="0.3">
      <c r="A492" s="166" t="s">
        <v>1131</v>
      </c>
      <c r="B492" s="166"/>
      <c r="C492" s="155" t="s">
        <v>1132</v>
      </c>
      <c r="D492" s="155" t="s">
        <v>1132</v>
      </c>
      <c r="E492" s="155" t="s">
        <v>1132</v>
      </c>
      <c r="F492" s="182" t="s">
        <v>1133</v>
      </c>
      <c r="G492" s="183" t="s">
        <v>1133</v>
      </c>
      <c r="H492" s="183" t="s">
        <v>1133</v>
      </c>
      <c r="I492" s="160" t="s">
        <v>875</v>
      </c>
      <c r="J492" s="155"/>
      <c r="L492" s="89" t="s">
        <v>68</v>
      </c>
      <c r="M492" t="s">
        <v>69</v>
      </c>
    </row>
    <row r="493" spans="1:13" x14ac:dyDescent="0.3">
      <c r="A493" s="152" t="s">
        <v>1134</v>
      </c>
      <c r="B493" s="152"/>
      <c r="C493" s="153" t="s">
        <v>1135</v>
      </c>
      <c r="D493" s="153" t="s">
        <v>860</v>
      </c>
      <c r="E493" s="153" t="s">
        <v>860</v>
      </c>
      <c r="F493" s="154">
        <v>16.100000000000001</v>
      </c>
      <c r="G493" s="184">
        <v>2.2799999999999998</v>
      </c>
      <c r="H493" s="153" t="s">
        <v>120</v>
      </c>
      <c r="I493" s="160" t="s">
        <v>875</v>
      </c>
      <c r="J493" s="153" t="s">
        <v>890</v>
      </c>
      <c r="L493" s="90" t="s">
        <v>875</v>
      </c>
      <c r="M493">
        <v>1857</v>
      </c>
    </row>
    <row r="494" spans="1:13" x14ac:dyDescent="0.3">
      <c r="A494" s="152" t="s">
        <v>1136</v>
      </c>
      <c r="B494" s="152"/>
      <c r="C494" s="153" t="s">
        <v>1137</v>
      </c>
      <c r="D494" s="153" t="s">
        <v>860</v>
      </c>
      <c r="E494" s="153" t="s">
        <v>860</v>
      </c>
      <c r="F494" s="154">
        <v>16</v>
      </c>
      <c r="G494" s="184">
        <v>2.3199999999999998</v>
      </c>
      <c r="H494" s="153" t="s">
        <v>120</v>
      </c>
      <c r="I494" s="160" t="s">
        <v>875</v>
      </c>
      <c r="J494" s="153"/>
      <c r="L494" s="99" t="s">
        <v>860</v>
      </c>
      <c r="M494">
        <v>83.3</v>
      </c>
    </row>
    <row r="495" spans="1:13" x14ac:dyDescent="0.3">
      <c r="A495" s="152" t="s">
        <v>1138</v>
      </c>
      <c r="B495" s="152"/>
      <c r="C495" s="153" t="s">
        <v>1137</v>
      </c>
      <c r="D495" s="153" t="s">
        <v>860</v>
      </c>
      <c r="E495" s="153" t="s">
        <v>860</v>
      </c>
      <c r="F495" s="154">
        <v>15.4</v>
      </c>
      <c r="G495" s="184">
        <v>2.2999999999999998</v>
      </c>
      <c r="H495" s="153" t="s">
        <v>120</v>
      </c>
      <c r="I495" s="160" t="s">
        <v>875</v>
      </c>
      <c r="J495" s="153"/>
      <c r="L495" s="99" t="s">
        <v>1132</v>
      </c>
      <c r="M495">
        <v>0</v>
      </c>
    </row>
    <row r="496" spans="1:13" x14ac:dyDescent="0.3">
      <c r="A496" s="152" t="s">
        <v>1139</v>
      </c>
      <c r="B496" s="152"/>
      <c r="C496" s="153" t="s">
        <v>86</v>
      </c>
      <c r="D496" s="153" t="s">
        <v>860</v>
      </c>
      <c r="E496" s="153" t="s">
        <v>860</v>
      </c>
      <c r="F496" s="154">
        <v>8.3000000000000007</v>
      </c>
      <c r="G496" s="184" t="s">
        <v>1140</v>
      </c>
      <c r="H496" s="153" t="s">
        <v>1141</v>
      </c>
      <c r="I496" s="160" t="s">
        <v>875</v>
      </c>
      <c r="J496" s="153"/>
      <c r="L496" s="99" t="s">
        <v>1142</v>
      </c>
      <c r="M496">
        <v>1773.7</v>
      </c>
    </row>
    <row r="497" spans="1:13" x14ac:dyDescent="0.3">
      <c r="A497" s="152" t="s">
        <v>1143</v>
      </c>
      <c r="B497" s="152"/>
      <c r="C497" s="153" t="s">
        <v>1142</v>
      </c>
      <c r="D497" s="153" t="s">
        <v>1142</v>
      </c>
      <c r="E497" s="153" t="s">
        <v>1142</v>
      </c>
      <c r="F497" s="154">
        <v>1773.7</v>
      </c>
      <c r="G497" s="184"/>
      <c r="H497" s="153" t="s">
        <v>1144</v>
      </c>
      <c r="I497" s="160" t="s">
        <v>875</v>
      </c>
      <c r="J497" s="153"/>
      <c r="L497" s="90" t="s">
        <v>122</v>
      </c>
      <c r="M497">
        <v>1857</v>
      </c>
    </row>
    <row r="498" spans="1:13" ht="15" thickBot="1" x14ac:dyDescent="0.35">
      <c r="A498" s="176" t="s">
        <v>1145</v>
      </c>
      <c r="B498" s="176"/>
      <c r="C498" s="161" t="s">
        <v>319</v>
      </c>
      <c r="D498" s="161" t="s">
        <v>860</v>
      </c>
      <c r="E498" s="161" t="s">
        <v>860</v>
      </c>
      <c r="F498" s="170">
        <v>27.5</v>
      </c>
      <c r="G498" s="185">
        <v>4.49</v>
      </c>
      <c r="H498" s="161" t="s">
        <v>1141</v>
      </c>
      <c r="I498" s="160" t="s">
        <v>875</v>
      </c>
      <c r="J498" s="161"/>
    </row>
    <row r="499" spans="1:13" ht="15.6" thickTop="1" thickBot="1" x14ac:dyDescent="0.35">
      <c r="A499" s="86" t="s">
        <v>123</v>
      </c>
      <c r="B499" s="86"/>
      <c r="C499" s="81"/>
      <c r="D499" s="81"/>
      <c r="E499" s="81"/>
      <c r="F499" s="87">
        <f>SUM(F493:F498)</f>
        <v>1857</v>
      </c>
      <c r="G499" s="88"/>
      <c r="H499" s="81"/>
      <c r="I499" s="84"/>
      <c r="J499" s="81"/>
    </row>
    <row r="500" spans="1:13" ht="15" thickTop="1" x14ac:dyDescent="0.3"/>
  </sheetData>
  <pageMargins left="0.7" right="0.7" top="0.78740157499999996" bottom="0.78740157499999996" header="0.3" footer="0.3"/>
  <pageSetup paperSize="9" scale="62" fitToHeight="0" orientation="landscape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90"/>
  <sheetViews>
    <sheetView topLeftCell="A16" workbookViewId="0">
      <selection activeCell="B190" sqref="B190"/>
    </sheetView>
  </sheetViews>
  <sheetFormatPr defaultRowHeight="14.4" x14ac:dyDescent="0.3"/>
  <cols>
    <col min="1" max="1" width="14.44140625" customWidth="1"/>
    <col min="2" max="2" width="10.44140625" customWidth="1"/>
    <col min="3" max="3" width="7.77734375" customWidth="1"/>
    <col min="4" max="4" width="27.77734375" bestFit="1" customWidth="1"/>
    <col min="5" max="5" width="17.21875" customWidth="1"/>
    <col min="6" max="6" width="18.77734375" customWidth="1"/>
    <col min="7" max="7" width="25.77734375" customWidth="1"/>
    <col min="8" max="8" width="14.77734375" customWidth="1"/>
    <col min="9" max="9" width="18.77734375" customWidth="1"/>
    <col min="11" max="11" width="29.21875" customWidth="1"/>
    <col min="12" max="12" width="19.44140625" bestFit="1" customWidth="1"/>
  </cols>
  <sheetData>
    <row r="1" spans="1:12" ht="15.6" x14ac:dyDescent="0.3">
      <c r="A1" s="186" t="s">
        <v>1146</v>
      </c>
      <c r="B1" s="186"/>
      <c r="C1" s="186"/>
      <c r="D1" s="186"/>
      <c r="E1" s="186"/>
      <c r="F1" s="186"/>
      <c r="G1" s="187"/>
      <c r="H1" s="188"/>
      <c r="I1" s="187"/>
    </row>
    <row r="2" spans="1:12" ht="31.2" x14ac:dyDescent="0.3">
      <c r="A2" s="189" t="s">
        <v>1147</v>
      </c>
      <c r="B2" s="190" t="s">
        <v>1148</v>
      </c>
      <c r="C2" s="190" t="s">
        <v>1149</v>
      </c>
      <c r="D2" s="190" t="s">
        <v>1150</v>
      </c>
      <c r="E2" s="96" t="s">
        <v>1151</v>
      </c>
      <c r="F2" s="191" t="s">
        <v>1152</v>
      </c>
      <c r="G2" s="191" t="s">
        <v>1153</v>
      </c>
      <c r="H2" s="191" t="s">
        <v>868</v>
      </c>
      <c r="I2" s="191" t="s">
        <v>1154</v>
      </c>
    </row>
    <row r="3" spans="1:12" x14ac:dyDescent="0.3">
      <c r="A3" s="91" t="s">
        <v>1155</v>
      </c>
      <c r="B3" s="92"/>
      <c r="C3" s="93" t="s">
        <v>1156</v>
      </c>
      <c r="D3" s="94" t="s">
        <v>1157</v>
      </c>
      <c r="E3" s="94"/>
      <c r="F3" s="95">
        <v>25.25</v>
      </c>
      <c r="G3" s="11" t="s">
        <v>861</v>
      </c>
      <c r="H3" s="192" t="s">
        <v>875</v>
      </c>
      <c r="I3" s="12" t="s">
        <v>1158</v>
      </c>
      <c r="K3" s="89" t="s">
        <v>68</v>
      </c>
      <c r="L3" t="s">
        <v>1159</v>
      </c>
    </row>
    <row r="4" spans="1:12" x14ac:dyDescent="0.3">
      <c r="A4" s="91" t="s">
        <v>1160</v>
      </c>
      <c r="B4" s="92"/>
      <c r="C4" s="93" t="s">
        <v>1161</v>
      </c>
      <c r="D4" s="94" t="s">
        <v>1162</v>
      </c>
      <c r="E4" s="94"/>
      <c r="F4" s="95">
        <v>23.06</v>
      </c>
      <c r="G4" s="11" t="s">
        <v>860</v>
      </c>
      <c r="H4" s="192" t="s">
        <v>875</v>
      </c>
      <c r="I4" s="12" t="s">
        <v>1158</v>
      </c>
      <c r="K4" s="90" t="s">
        <v>875</v>
      </c>
      <c r="L4">
        <v>825.70999999999981</v>
      </c>
    </row>
    <row r="5" spans="1:12" x14ac:dyDescent="0.3">
      <c r="A5" s="91" t="s">
        <v>1163</v>
      </c>
      <c r="B5" s="92"/>
      <c r="C5" s="93" t="s">
        <v>1164</v>
      </c>
      <c r="D5" s="94" t="s">
        <v>1165</v>
      </c>
      <c r="E5" s="94"/>
      <c r="F5" s="95">
        <v>244.27</v>
      </c>
      <c r="G5" s="11" t="s">
        <v>860</v>
      </c>
      <c r="H5" s="192" t="s">
        <v>875</v>
      </c>
      <c r="I5" s="12" t="s">
        <v>1158</v>
      </c>
      <c r="K5" s="99" t="s">
        <v>860</v>
      </c>
      <c r="L5">
        <v>595.49999999999989</v>
      </c>
    </row>
    <row r="6" spans="1:12" x14ac:dyDescent="0.3">
      <c r="A6" s="91" t="s">
        <v>1166</v>
      </c>
      <c r="B6" s="92"/>
      <c r="C6" s="93" t="s">
        <v>1164</v>
      </c>
      <c r="D6" s="94" t="s">
        <v>1167</v>
      </c>
      <c r="E6" s="94"/>
      <c r="F6" s="95">
        <v>68.849999999999994</v>
      </c>
      <c r="G6" s="11" t="s">
        <v>860</v>
      </c>
      <c r="H6" s="192" t="s">
        <v>875</v>
      </c>
      <c r="I6" s="12" t="s">
        <v>1158</v>
      </c>
      <c r="K6" s="99" t="s">
        <v>861</v>
      </c>
      <c r="L6">
        <v>230.20999999999998</v>
      </c>
    </row>
    <row r="7" spans="1:12" x14ac:dyDescent="0.3">
      <c r="A7" s="91" t="s">
        <v>1168</v>
      </c>
      <c r="B7" s="92"/>
      <c r="C7" s="93" t="s">
        <v>1161</v>
      </c>
      <c r="D7" s="94" t="s">
        <v>1169</v>
      </c>
      <c r="E7" s="94" t="s">
        <v>890</v>
      </c>
      <c r="F7" s="95">
        <v>4.03</v>
      </c>
      <c r="G7" s="11" t="s">
        <v>860</v>
      </c>
      <c r="H7" s="192" t="s">
        <v>875</v>
      </c>
      <c r="I7" s="12" t="s">
        <v>1170</v>
      </c>
      <c r="K7" s="90" t="s">
        <v>122</v>
      </c>
      <c r="L7">
        <v>825.70999999999981</v>
      </c>
    </row>
    <row r="8" spans="1:12" x14ac:dyDescent="0.3">
      <c r="A8" s="91" t="s">
        <v>1171</v>
      </c>
      <c r="B8" s="92"/>
      <c r="C8" s="93" t="s">
        <v>1161</v>
      </c>
      <c r="D8" s="94" t="s">
        <v>1172</v>
      </c>
      <c r="E8" s="94" t="s">
        <v>890</v>
      </c>
      <c r="F8" s="95">
        <v>3.8</v>
      </c>
      <c r="G8" s="11" t="s">
        <v>860</v>
      </c>
      <c r="H8" s="192" t="s">
        <v>875</v>
      </c>
      <c r="I8" s="12" t="s">
        <v>1170</v>
      </c>
    </row>
    <row r="9" spans="1:12" x14ac:dyDescent="0.3">
      <c r="A9" s="91" t="s">
        <v>1173</v>
      </c>
      <c r="B9" s="92"/>
      <c r="C9" s="93" t="s">
        <v>1174</v>
      </c>
      <c r="D9" s="94" t="s">
        <v>1175</v>
      </c>
      <c r="E9" s="94" t="s">
        <v>890</v>
      </c>
      <c r="F9" s="95">
        <v>14.45</v>
      </c>
      <c r="G9" s="11" t="s">
        <v>860</v>
      </c>
      <c r="H9" s="192" t="s">
        <v>875</v>
      </c>
      <c r="I9" s="12" t="s">
        <v>1176</v>
      </c>
    </row>
    <row r="10" spans="1:12" x14ac:dyDescent="0.3">
      <c r="A10" s="91" t="s">
        <v>1177</v>
      </c>
      <c r="B10" s="92"/>
      <c r="C10" s="93" t="s">
        <v>1174</v>
      </c>
      <c r="D10" s="193" t="s">
        <v>1178</v>
      </c>
      <c r="E10" s="193" t="s">
        <v>890</v>
      </c>
      <c r="F10" s="95">
        <v>5.45</v>
      </c>
      <c r="G10" s="11" t="s">
        <v>860</v>
      </c>
      <c r="H10" s="192" t="s">
        <v>875</v>
      </c>
      <c r="I10" s="12" t="s">
        <v>1176</v>
      </c>
    </row>
    <row r="11" spans="1:12" x14ac:dyDescent="0.3">
      <c r="A11" s="91" t="s">
        <v>1179</v>
      </c>
      <c r="B11" s="92"/>
      <c r="C11" s="93" t="s">
        <v>1174</v>
      </c>
      <c r="D11" s="94" t="s">
        <v>1180</v>
      </c>
      <c r="E11" s="94" t="s">
        <v>890</v>
      </c>
      <c r="F11" s="95">
        <v>104.88</v>
      </c>
      <c r="G11" s="11" t="s">
        <v>860</v>
      </c>
      <c r="H11" s="192" t="s">
        <v>875</v>
      </c>
      <c r="I11" s="12" t="s">
        <v>1158</v>
      </c>
    </row>
    <row r="12" spans="1:12" x14ac:dyDescent="0.3">
      <c r="A12" s="91" t="s">
        <v>1181</v>
      </c>
      <c r="B12" s="92" t="s">
        <v>1182</v>
      </c>
      <c r="C12" s="93" t="s">
        <v>1183</v>
      </c>
      <c r="D12" s="94" t="s">
        <v>1184</v>
      </c>
      <c r="E12" s="94"/>
      <c r="F12" s="95">
        <v>30.97</v>
      </c>
      <c r="G12" s="11" t="s">
        <v>861</v>
      </c>
      <c r="H12" s="192" t="s">
        <v>875</v>
      </c>
      <c r="I12" s="12" t="s">
        <v>1158</v>
      </c>
    </row>
    <row r="13" spans="1:12" x14ac:dyDescent="0.3">
      <c r="A13" s="91" t="s">
        <v>1185</v>
      </c>
      <c r="B13" s="92" t="s">
        <v>1182</v>
      </c>
      <c r="C13" s="93" t="s">
        <v>1183</v>
      </c>
      <c r="D13" s="94" t="s">
        <v>1186</v>
      </c>
      <c r="E13" s="94"/>
      <c r="F13" s="95">
        <v>3.52</v>
      </c>
      <c r="G13" s="11" t="s">
        <v>861</v>
      </c>
      <c r="H13" s="192" t="s">
        <v>875</v>
      </c>
      <c r="I13" s="12" t="s">
        <v>1158</v>
      </c>
    </row>
    <row r="14" spans="1:12" x14ac:dyDescent="0.3">
      <c r="A14" s="91" t="s">
        <v>1187</v>
      </c>
      <c r="B14" s="92" t="s">
        <v>1182</v>
      </c>
      <c r="C14" s="93" t="s">
        <v>1183</v>
      </c>
      <c r="D14" s="94" t="s">
        <v>1184</v>
      </c>
      <c r="E14" s="94"/>
      <c r="F14" s="95">
        <v>15.02</v>
      </c>
      <c r="G14" s="11" t="s">
        <v>861</v>
      </c>
      <c r="H14" s="192" t="s">
        <v>875</v>
      </c>
      <c r="I14" s="12" t="s">
        <v>1158</v>
      </c>
    </row>
    <row r="15" spans="1:12" x14ac:dyDescent="0.3">
      <c r="A15" s="91" t="s">
        <v>1188</v>
      </c>
      <c r="B15" s="92" t="s">
        <v>1182</v>
      </c>
      <c r="C15" s="93" t="s">
        <v>1183</v>
      </c>
      <c r="D15" s="94" t="s">
        <v>1184</v>
      </c>
      <c r="E15" s="94"/>
      <c r="F15" s="95">
        <v>17.440000000000001</v>
      </c>
      <c r="G15" s="11" t="s">
        <v>861</v>
      </c>
      <c r="H15" s="192" t="s">
        <v>875</v>
      </c>
      <c r="I15" s="12" t="s">
        <v>1158</v>
      </c>
    </row>
    <row r="16" spans="1:12" x14ac:dyDescent="0.3">
      <c r="A16" s="91" t="s">
        <v>1189</v>
      </c>
      <c r="B16" s="92"/>
      <c r="C16" s="93" t="s">
        <v>1161</v>
      </c>
      <c r="D16" s="94" t="s">
        <v>1190</v>
      </c>
      <c r="E16" s="94"/>
      <c r="F16" s="95">
        <v>39.770000000000003</v>
      </c>
      <c r="G16" s="11" t="s">
        <v>860</v>
      </c>
      <c r="H16" s="192" t="s">
        <v>875</v>
      </c>
      <c r="I16" s="12" t="s">
        <v>1158</v>
      </c>
    </row>
    <row r="17" spans="1:12" x14ac:dyDescent="0.3">
      <c r="A17" s="91" t="s">
        <v>1191</v>
      </c>
      <c r="B17" s="92"/>
      <c r="C17" s="93" t="s">
        <v>1174</v>
      </c>
      <c r="D17" s="94" t="s">
        <v>1192</v>
      </c>
      <c r="E17" s="94" t="s">
        <v>890</v>
      </c>
      <c r="F17" s="95">
        <v>23.46</v>
      </c>
      <c r="G17" s="11" t="s">
        <v>860</v>
      </c>
      <c r="H17" s="192" t="s">
        <v>875</v>
      </c>
      <c r="I17" s="12" t="s">
        <v>1158</v>
      </c>
    </row>
    <row r="18" spans="1:12" x14ac:dyDescent="0.3">
      <c r="A18" s="91" t="s">
        <v>1193</v>
      </c>
      <c r="B18" s="92"/>
      <c r="C18" s="93" t="s">
        <v>1174</v>
      </c>
      <c r="D18" s="94" t="s">
        <v>1194</v>
      </c>
      <c r="E18" s="94" t="s">
        <v>890</v>
      </c>
      <c r="F18" s="95">
        <v>45.54</v>
      </c>
      <c r="G18" s="11" t="s">
        <v>860</v>
      </c>
      <c r="H18" s="192" t="s">
        <v>875</v>
      </c>
      <c r="I18" s="12" t="s">
        <v>1158</v>
      </c>
    </row>
    <row r="19" spans="1:12" x14ac:dyDescent="0.3">
      <c r="A19" s="91" t="s">
        <v>1195</v>
      </c>
      <c r="B19" s="92"/>
      <c r="C19" s="93" t="s">
        <v>1161</v>
      </c>
      <c r="D19" s="94" t="s">
        <v>1196</v>
      </c>
      <c r="E19" s="94"/>
      <c r="F19" s="95">
        <v>17.940000000000001</v>
      </c>
      <c r="G19" s="11" t="s">
        <v>860</v>
      </c>
      <c r="H19" s="192" t="s">
        <v>875</v>
      </c>
      <c r="I19" s="12" t="s">
        <v>1197</v>
      </c>
    </row>
    <row r="20" spans="1:12" x14ac:dyDescent="0.3">
      <c r="A20" s="91" t="s">
        <v>1198</v>
      </c>
      <c r="B20" s="92"/>
      <c r="C20" s="93" t="s">
        <v>1156</v>
      </c>
      <c r="D20" s="94" t="s">
        <v>1157</v>
      </c>
      <c r="E20" s="94"/>
      <c r="F20" s="95">
        <v>52.94</v>
      </c>
      <c r="G20" s="11" t="s">
        <v>861</v>
      </c>
      <c r="H20" s="192" t="s">
        <v>875</v>
      </c>
      <c r="I20" s="12" t="s">
        <v>1158</v>
      </c>
    </row>
    <row r="21" spans="1:12" x14ac:dyDescent="0.3">
      <c r="A21" s="91" t="s">
        <v>274</v>
      </c>
      <c r="B21" s="92"/>
      <c r="C21" s="93" t="s">
        <v>1156</v>
      </c>
      <c r="D21" s="94" t="s">
        <v>1157</v>
      </c>
      <c r="E21" s="94"/>
      <c r="F21" s="95">
        <v>85.07</v>
      </c>
      <c r="G21" s="11" t="s">
        <v>861</v>
      </c>
      <c r="H21" s="192" t="s">
        <v>875</v>
      </c>
      <c r="I21" s="12" t="s">
        <v>1158</v>
      </c>
    </row>
    <row r="22" spans="1:12" ht="15.6" x14ac:dyDescent="0.3">
      <c r="A22" s="194" t="s">
        <v>1199</v>
      </c>
      <c r="B22" s="195"/>
      <c r="C22" s="195"/>
      <c r="D22" s="196"/>
      <c r="E22" s="196"/>
      <c r="F22" s="197">
        <f>SUM(F3:F21)</f>
        <v>825.71</v>
      </c>
      <c r="G22" s="198"/>
      <c r="H22" s="199"/>
      <c r="I22" s="200"/>
    </row>
    <row r="23" spans="1:12" ht="15.6" x14ac:dyDescent="0.3">
      <c r="A23" s="186" t="s">
        <v>1200</v>
      </c>
      <c r="B23" s="186"/>
      <c r="C23" s="186"/>
      <c r="D23" s="186"/>
      <c r="E23" s="186"/>
      <c r="F23" s="186"/>
      <c r="G23" s="187"/>
      <c r="H23" s="201"/>
      <c r="I23" s="187"/>
    </row>
    <row r="24" spans="1:12" ht="31.2" x14ac:dyDescent="0.3">
      <c r="A24" s="189" t="s">
        <v>1147</v>
      </c>
      <c r="B24" s="190" t="s">
        <v>1148</v>
      </c>
      <c r="C24" s="190" t="s">
        <v>1149</v>
      </c>
      <c r="D24" s="190" t="s">
        <v>1150</v>
      </c>
      <c r="E24" s="96" t="s">
        <v>1151</v>
      </c>
      <c r="F24" s="191" t="s">
        <v>1152</v>
      </c>
      <c r="G24" s="191" t="s">
        <v>1153</v>
      </c>
      <c r="H24" s="191" t="s">
        <v>868</v>
      </c>
      <c r="I24" s="191" t="s">
        <v>1154</v>
      </c>
      <c r="K24" s="89" t="s">
        <v>68</v>
      </c>
      <c r="L24" t="s">
        <v>1159</v>
      </c>
    </row>
    <row r="25" spans="1:12" x14ac:dyDescent="0.3">
      <c r="A25" s="91" t="s">
        <v>1201</v>
      </c>
      <c r="B25" s="92"/>
      <c r="C25" s="93" t="s">
        <v>1161</v>
      </c>
      <c r="D25" s="94" t="s">
        <v>1202</v>
      </c>
      <c r="E25" s="94"/>
      <c r="F25" s="95">
        <v>11.97</v>
      </c>
      <c r="G25" s="11" t="s">
        <v>860</v>
      </c>
      <c r="H25" s="192" t="s">
        <v>874</v>
      </c>
      <c r="I25" s="12" t="s">
        <v>1197</v>
      </c>
      <c r="K25" s="90" t="s">
        <v>874</v>
      </c>
      <c r="L25">
        <v>1133.7</v>
      </c>
    </row>
    <row r="26" spans="1:12" x14ac:dyDescent="0.3">
      <c r="A26" s="91" t="s">
        <v>1203</v>
      </c>
      <c r="B26" s="92"/>
      <c r="C26" s="93" t="s">
        <v>1161</v>
      </c>
      <c r="D26" s="94" t="s">
        <v>1204</v>
      </c>
      <c r="E26" s="94"/>
      <c r="F26" s="95">
        <v>5.75</v>
      </c>
      <c r="G26" s="11" t="s">
        <v>1205</v>
      </c>
      <c r="H26" s="192" t="s">
        <v>874</v>
      </c>
      <c r="I26" s="12" t="s">
        <v>1206</v>
      </c>
      <c r="K26" s="99" t="s">
        <v>860</v>
      </c>
      <c r="L26">
        <v>396.8</v>
      </c>
    </row>
    <row r="27" spans="1:12" x14ac:dyDescent="0.3">
      <c r="A27" s="91" t="s">
        <v>1207</v>
      </c>
      <c r="B27" s="92"/>
      <c r="C27" s="93" t="s">
        <v>1161</v>
      </c>
      <c r="D27" s="94" t="s">
        <v>1204</v>
      </c>
      <c r="E27" s="94"/>
      <c r="F27" s="95">
        <v>11.34</v>
      </c>
      <c r="G27" s="11" t="s">
        <v>1205</v>
      </c>
      <c r="H27" s="192" t="s">
        <v>874</v>
      </c>
      <c r="I27" s="12" t="s">
        <v>1206</v>
      </c>
      <c r="K27" s="99" t="s">
        <v>1205</v>
      </c>
      <c r="L27">
        <v>17.09</v>
      </c>
    </row>
    <row r="28" spans="1:12" x14ac:dyDescent="0.3">
      <c r="A28" s="91" t="s">
        <v>442</v>
      </c>
      <c r="B28" s="92"/>
      <c r="C28" s="93" t="s">
        <v>1161</v>
      </c>
      <c r="D28" s="94" t="s">
        <v>1190</v>
      </c>
      <c r="E28" s="94"/>
      <c r="F28" s="95">
        <v>316.62</v>
      </c>
      <c r="G28" s="11" t="s">
        <v>860</v>
      </c>
      <c r="H28" s="192" t="s">
        <v>874</v>
      </c>
      <c r="I28" s="12" t="s">
        <v>1197</v>
      </c>
      <c r="K28" s="99" t="s">
        <v>861</v>
      </c>
      <c r="L28">
        <v>21.63</v>
      </c>
    </row>
    <row r="29" spans="1:12" x14ac:dyDescent="0.3">
      <c r="A29" s="91" t="s">
        <v>1208</v>
      </c>
      <c r="B29" s="92"/>
      <c r="C29" s="93" t="s">
        <v>1161</v>
      </c>
      <c r="D29" s="94" t="s">
        <v>1209</v>
      </c>
      <c r="E29" s="94"/>
      <c r="F29" s="95">
        <v>17.37</v>
      </c>
      <c r="G29" s="11" t="s">
        <v>860</v>
      </c>
      <c r="H29" s="192" t="s">
        <v>874</v>
      </c>
      <c r="I29" s="12" t="s">
        <v>1197</v>
      </c>
      <c r="K29" s="99" t="s">
        <v>881</v>
      </c>
      <c r="L29">
        <v>632.41999999999996</v>
      </c>
    </row>
    <row r="30" spans="1:12" x14ac:dyDescent="0.3">
      <c r="A30" s="91" t="s">
        <v>444</v>
      </c>
      <c r="B30" s="92" t="s">
        <v>1210</v>
      </c>
      <c r="C30" s="93" t="s">
        <v>1174</v>
      </c>
      <c r="D30" s="94" t="s">
        <v>909</v>
      </c>
      <c r="E30" s="94"/>
      <c r="F30" s="95">
        <v>6.72</v>
      </c>
      <c r="G30" s="11" t="s">
        <v>861</v>
      </c>
      <c r="H30" s="192" t="s">
        <v>874</v>
      </c>
      <c r="I30" s="12" t="s">
        <v>1211</v>
      </c>
      <c r="K30" s="99" t="s">
        <v>1212</v>
      </c>
      <c r="L30">
        <v>65.760000000000005</v>
      </c>
    </row>
    <row r="31" spans="1:12" x14ac:dyDescent="0.3">
      <c r="A31" s="91" t="s">
        <v>1213</v>
      </c>
      <c r="B31" s="92" t="s">
        <v>1210</v>
      </c>
      <c r="C31" s="93" t="s">
        <v>1183</v>
      </c>
      <c r="D31" s="94" t="s">
        <v>1214</v>
      </c>
      <c r="E31" s="94"/>
      <c r="F31" s="95">
        <v>35.659999999999997</v>
      </c>
      <c r="G31" s="11" t="s">
        <v>881</v>
      </c>
      <c r="H31" s="192" t="s">
        <v>874</v>
      </c>
      <c r="I31" s="12" t="s">
        <v>1211</v>
      </c>
      <c r="K31" s="90" t="s">
        <v>122</v>
      </c>
      <c r="L31">
        <v>1133.7</v>
      </c>
    </row>
    <row r="32" spans="1:12" x14ac:dyDescent="0.3">
      <c r="A32" s="91" t="s">
        <v>446</v>
      </c>
      <c r="B32" s="92" t="s">
        <v>1210</v>
      </c>
      <c r="C32" s="93" t="s">
        <v>1183</v>
      </c>
      <c r="D32" s="94" t="s">
        <v>1214</v>
      </c>
      <c r="E32" s="94"/>
      <c r="F32" s="95">
        <v>76.569999999999993</v>
      </c>
      <c r="G32" s="11" t="s">
        <v>881</v>
      </c>
      <c r="H32" s="192" t="s">
        <v>874</v>
      </c>
      <c r="I32" s="12" t="s">
        <v>1211</v>
      </c>
    </row>
    <row r="33" spans="1:9" x14ac:dyDescent="0.3">
      <c r="A33" s="91" t="s">
        <v>448</v>
      </c>
      <c r="B33" s="92" t="s">
        <v>1210</v>
      </c>
      <c r="C33" s="93" t="s">
        <v>1183</v>
      </c>
      <c r="D33" s="94" t="s">
        <v>1214</v>
      </c>
      <c r="E33" s="94"/>
      <c r="F33" s="95">
        <v>76.92</v>
      </c>
      <c r="G33" s="11" t="s">
        <v>881</v>
      </c>
      <c r="H33" s="192" t="s">
        <v>874</v>
      </c>
      <c r="I33" s="12" t="s">
        <v>1211</v>
      </c>
    </row>
    <row r="34" spans="1:9" x14ac:dyDescent="0.3">
      <c r="A34" s="91" t="s">
        <v>1215</v>
      </c>
      <c r="B34" s="92"/>
      <c r="C34" s="93" t="s">
        <v>1216</v>
      </c>
      <c r="D34" s="94" t="s">
        <v>1217</v>
      </c>
      <c r="E34" s="94"/>
      <c r="F34" s="95">
        <v>17.03</v>
      </c>
      <c r="G34" s="11" t="s">
        <v>1212</v>
      </c>
      <c r="H34" s="192" t="s">
        <v>874</v>
      </c>
      <c r="I34" s="12" t="s">
        <v>1197</v>
      </c>
    </row>
    <row r="35" spans="1:9" x14ac:dyDescent="0.3">
      <c r="A35" s="91" t="s">
        <v>450</v>
      </c>
      <c r="B35" s="92"/>
      <c r="C35" s="93" t="s">
        <v>1161</v>
      </c>
      <c r="D35" s="94" t="s">
        <v>1196</v>
      </c>
      <c r="E35" s="94"/>
      <c r="F35" s="95">
        <v>16.989999999999998</v>
      </c>
      <c r="G35" s="11" t="s">
        <v>860</v>
      </c>
      <c r="H35" s="192" t="s">
        <v>874</v>
      </c>
      <c r="I35" s="12" t="s">
        <v>1197</v>
      </c>
    </row>
    <row r="36" spans="1:9" x14ac:dyDescent="0.3">
      <c r="A36" s="91" t="s">
        <v>1218</v>
      </c>
      <c r="B36" s="92" t="s">
        <v>1219</v>
      </c>
      <c r="C36" s="93" t="s">
        <v>1183</v>
      </c>
      <c r="D36" s="94" t="s">
        <v>1220</v>
      </c>
      <c r="E36" s="94"/>
      <c r="F36" s="95">
        <v>76.92</v>
      </c>
      <c r="G36" s="11" t="s">
        <v>881</v>
      </c>
      <c r="H36" s="192" t="s">
        <v>874</v>
      </c>
      <c r="I36" s="12" t="s">
        <v>1211</v>
      </c>
    </row>
    <row r="37" spans="1:9" x14ac:dyDescent="0.3">
      <c r="A37" s="91" t="s">
        <v>452</v>
      </c>
      <c r="B37" s="92" t="s">
        <v>1219</v>
      </c>
      <c r="C37" s="93" t="s">
        <v>1183</v>
      </c>
      <c r="D37" s="94" t="s">
        <v>1221</v>
      </c>
      <c r="E37" s="94"/>
      <c r="F37" s="95">
        <v>76.569999999999993</v>
      </c>
      <c r="G37" s="11" t="s">
        <v>881</v>
      </c>
      <c r="H37" s="192" t="s">
        <v>874</v>
      </c>
      <c r="I37" s="12" t="s">
        <v>1211</v>
      </c>
    </row>
    <row r="38" spans="1:9" x14ac:dyDescent="0.3">
      <c r="A38" s="91" t="s">
        <v>454</v>
      </c>
      <c r="B38" s="92" t="s">
        <v>1219</v>
      </c>
      <c r="C38" s="93" t="s">
        <v>1183</v>
      </c>
      <c r="D38" s="94" t="s">
        <v>1220</v>
      </c>
      <c r="E38" s="94"/>
      <c r="F38" s="95">
        <v>32.659999999999997</v>
      </c>
      <c r="G38" s="11" t="s">
        <v>881</v>
      </c>
      <c r="H38" s="192" t="s">
        <v>874</v>
      </c>
      <c r="I38" s="12" t="s">
        <v>1211</v>
      </c>
    </row>
    <row r="39" spans="1:9" x14ac:dyDescent="0.3">
      <c r="A39" s="91" t="s">
        <v>1168</v>
      </c>
      <c r="B39" s="92"/>
      <c r="C39" s="93" t="s">
        <v>1161</v>
      </c>
      <c r="D39" s="94" t="s">
        <v>1169</v>
      </c>
      <c r="E39" s="94" t="s">
        <v>890</v>
      </c>
      <c r="F39" s="95">
        <v>4.03</v>
      </c>
      <c r="G39" s="11" t="s">
        <v>860</v>
      </c>
      <c r="H39" s="192" t="s">
        <v>874</v>
      </c>
      <c r="I39" s="12" t="s">
        <v>1170</v>
      </c>
    </row>
    <row r="40" spans="1:9" x14ac:dyDescent="0.3">
      <c r="A40" s="91" t="s">
        <v>1171</v>
      </c>
      <c r="B40" s="92"/>
      <c r="C40" s="93" t="s">
        <v>1161</v>
      </c>
      <c r="D40" s="94" t="s">
        <v>1172</v>
      </c>
      <c r="E40" s="94" t="s">
        <v>890</v>
      </c>
      <c r="F40" s="95">
        <v>3.8</v>
      </c>
      <c r="G40" s="11" t="s">
        <v>860</v>
      </c>
      <c r="H40" s="192" t="s">
        <v>874</v>
      </c>
      <c r="I40" s="12" t="s">
        <v>1170</v>
      </c>
    </row>
    <row r="41" spans="1:9" x14ac:dyDescent="0.3">
      <c r="A41" s="91" t="s">
        <v>1222</v>
      </c>
      <c r="B41" s="92"/>
      <c r="C41" s="93" t="s">
        <v>1216</v>
      </c>
      <c r="D41" s="94" t="s">
        <v>1223</v>
      </c>
      <c r="E41" s="94"/>
      <c r="F41" s="95">
        <v>5.17</v>
      </c>
      <c r="G41" s="11" t="s">
        <v>1212</v>
      </c>
      <c r="H41" s="192" t="s">
        <v>874</v>
      </c>
      <c r="I41" s="12" t="s">
        <v>1197</v>
      </c>
    </row>
    <row r="42" spans="1:9" x14ac:dyDescent="0.3">
      <c r="A42" s="91" t="s">
        <v>457</v>
      </c>
      <c r="B42" s="92"/>
      <c r="C42" s="93" t="s">
        <v>1216</v>
      </c>
      <c r="D42" s="94" t="s">
        <v>1224</v>
      </c>
      <c r="E42" s="94"/>
      <c r="F42" s="95">
        <v>13.13</v>
      </c>
      <c r="G42" s="11" t="s">
        <v>1212</v>
      </c>
      <c r="H42" s="192" t="s">
        <v>874</v>
      </c>
      <c r="I42" s="12" t="s">
        <v>1197</v>
      </c>
    </row>
    <row r="43" spans="1:9" x14ac:dyDescent="0.3">
      <c r="A43" s="91" t="s">
        <v>459</v>
      </c>
      <c r="B43" s="92"/>
      <c r="C43" s="93" t="s">
        <v>1216</v>
      </c>
      <c r="D43" s="94" t="s">
        <v>1225</v>
      </c>
      <c r="E43" s="94"/>
      <c r="F43" s="95">
        <v>1.7</v>
      </c>
      <c r="G43" s="11" t="s">
        <v>860</v>
      </c>
      <c r="H43" s="192" t="s">
        <v>874</v>
      </c>
      <c r="I43" s="12" t="s">
        <v>1197</v>
      </c>
    </row>
    <row r="44" spans="1:9" x14ac:dyDescent="0.3">
      <c r="A44" s="91" t="s">
        <v>461</v>
      </c>
      <c r="B44" s="92"/>
      <c r="C44" s="93" t="s">
        <v>1216</v>
      </c>
      <c r="D44" s="94" t="s">
        <v>1226</v>
      </c>
      <c r="E44" s="94"/>
      <c r="F44" s="95">
        <v>13.4</v>
      </c>
      <c r="G44" s="11" t="s">
        <v>1212</v>
      </c>
      <c r="H44" s="192" t="s">
        <v>874</v>
      </c>
      <c r="I44" s="12" t="s">
        <v>1197</v>
      </c>
    </row>
    <row r="45" spans="1:9" x14ac:dyDescent="0.3">
      <c r="A45" s="91" t="s">
        <v>1227</v>
      </c>
      <c r="B45" s="92" t="s">
        <v>1182</v>
      </c>
      <c r="C45" s="93" t="s">
        <v>1156</v>
      </c>
      <c r="D45" s="94" t="s">
        <v>1228</v>
      </c>
      <c r="E45" s="94"/>
      <c r="F45" s="95">
        <v>14.91</v>
      </c>
      <c r="G45" s="11" t="s">
        <v>861</v>
      </c>
      <c r="H45" s="192" t="s">
        <v>874</v>
      </c>
      <c r="I45" s="12" t="s">
        <v>1211</v>
      </c>
    </row>
    <row r="46" spans="1:9" x14ac:dyDescent="0.3">
      <c r="A46" s="91" t="s">
        <v>463</v>
      </c>
      <c r="B46" s="92" t="s">
        <v>1182</v>
      </c>
      <c r="C46" s="93" t="s">
        <v>1183</v>
      </c>
      <c r="D46" s="94" t="s">
        <v>1229</v>
      </c>
      <c r="E46" s="94"/>
      <c r="F46" s="95">
        <v>51.64</v>
      </c>
      <c r="G46" s="11" t="s">
        <v>881</v>
      </c>
      <c r="H46" s="192" t="s">
        <v>874</v>
      </c>
      <c r="I46" s="12" t="s">
        <v>1211</v>
      </c>
    </row>
    <row r="47" spans="1:9" x14ac:dyDescent="0.3">
      <c r="A47" s="91" t="s">
        <v>465</v>
      </c>
      <c r="B47" s="92" t="s">
        <v>1182</v>
      </c>
      <c r="C47" s="93" t="s">
        <v>1183</v>
      </c>
      <c r="D47" s="94" t="s">
        <v>1229</v>
      </c>
      <c r="E47" s="94"/>
      <c r="F47" s="95">
        <v>76.92</v>
      </c>
      <c r="G47" s="11" t="s">
        <v>881</v>
      </c>
      <c r="H47" s="192" t="s">
        <v>874</v>
      </c>
      <c r="I47" s="12" t="s">
        <v>1211</v>
      </c>
    </row>
    <row r="48" spans="1:9" x14ac:dyDescent="0.3">
      <c r="A48" s="91" t="s">
        <v>467</v>
      </c>
      <c r="B48" s="92"/>
      <c r="C48" s="93" t="s">
        <v>1216</v>
      </c>
      <c r="D48" s="94" t="s">
        <v>1224</v>
      </c>
      <c r="E48" s="94"/>
      <c r="F48" s="95">
        <v>17.03</v>
      </c>
      <c r="G48" s="11" t="s">
        <v>1212</v>
      </c>
      <c r="H48" s="192" t="s">
        <v>874</v>
      </c>
      <c r="I48" s="12" t="s">
        <v>1197</v>
      </c>
    </row>
    <row r="49" spans="1:12" x14ac:dyDescent="0.3">
      <c r="A49" s="91" t="s">
        <v>469</v>
      </c>
      <c r="B49" s="92"/>
      <c r="C49" s="93" t="s">
        <v>1161</v>
      </c>
      <c r="D49" s="94" t="s">
        <v>1196</v>
      </c>
      <c r="E49" s="94"/>
      <c r="F49" s="95">
        <v>17.36</v>
      </c>
      <c r="G49" s="11" t="s">
        <v>860</v>
      </c>
      <c r="H49" s="192" t="s">
        <v>874</v>
      </c>
      <c r="I49" s="12" t="s">
        <v>1197</v>
      </c>
    </row>
    <row r="50" spans="1:12" x14ac:dyDescent="0.3">
      <c r="A50" s="91" t="s">
        <v>471</v>
      </c>
      <c r="B50" s="92" t="s">
        <v>1182</v>
      </c>
      <c r="C50" s="93" t="s">
        <v>1183</v>
      </c>
      <c r="D50" s="94" t="s">
        <v>1229</v>
      </c>
      <c r="E50" s="94"/>
      <c r="F50" s="95">
        <v>76.92</v>
      </c>
      <c r="G50" s="11" t="s">
        <v>881</v>
      </c>
      <c r="H50" s="192" t="s">
        <v>874</v>
      </c>
      <c r="I50" s="12" t="s">
        <v>1211</v>
      </c>
    </row>
    <row r="51" spans="1:12" x14ac:dyDescent="0.3">
      <c r="A51" s="91" t="s">
        <v>473</v>
      </c>
      <c r="B51" s="92" t="s">
        <v>1182</v>
      </c>
      <c r="C51" s="93" t="s">
        <v>1183</v>
      </c>
      <c r="D51" s="94" t="s">
        <v>1229</v>
      </c>
      <c r="E51" s="94"/>
      <c r="F51" s="95">
        <v>51.64</v>
      </c>
      <c r="G51" s="11" t="s">
        <v>881</v>
      </c>
      <c r="H51" s="192" t="s">
        <v>874</v>
      </c>
      <c r="I51" s="12" t="s">
        <v>1211</v>
      </c>
    </row>
    <row r="52" spans="1:12" x14ac:dyDescent="0.3">
      <c r="A52" s="91" t="s">
        <v>1230</v>
      </c>
      <c r="B52" s="92"/>
      <c r="C52" s="93" t="s">
        <v>1161</v>
      </c>
      <c r="D52" s="94" t="s">
        <v>1231</v>
      </c>
      <c r="E52" s="94"/>
      <c r="F52" s="95">
        <v>3.75</v>
      </c>
      <c r="G52" s="11" t="s">
        <v>860</v>
      </c>
      <c r="H52" s="192" t="s">
        <v>874</v>
      </c>
      <c r="I52" s="12" t="s">
        <v>1170</v>
      </c>
    </row>
    <row r="53" spans="1:12" x14ac:dyDescent="0.3">
      <c r="A53" s="91" t="s">
        <v>1232</v>
      </c>
      <c r="B53" s="92"/>
      <c r="C53" s="93" t="s">
        <v>1161</v>
      </c>
      <c r="D53" s="94" t="s">
        <v>1231</v>
      </c>
      <c r="E53" s="94"/>
      <c r="F53" s="95">
        <v>3.21</v>
      </c>
      <c r="G53" s="11" t="s">
        <v>860</v>
      </c>
      <c r="H53" s="192" t="s">
        <v>874</v>
      </c>
      <c r="I53" s="12" t="s">
        <v>1170</v>
      </c>
    </row>
    <row r="54" spans="1:12" ht="15.6" x14ac:dyDescent="0.3">
      <c r="A54" s="194" t="s">
        <v>1233</v>
      </c>
      <c r="B54" s="195"/>
      <c r="C54" s="195"/>
      <c r="D54" s="196"/>
      <c r="E54" s="196"/>
      <c r="F54" s="197">
        <f>SUM(F25:F53)</f>
        <v>1133.7</v>
      </c>
      <c r="G54" s="198"/>
      <c r="H54" s="199"/>
      <c r="I54" s="200"/>
    </row>
    <row r="55" spans="1:12" ht="15.6" x14ac:dyDescent="0.3">
      <c r="A55" s="186" t="s">
        <v>1234</v>
      </c>
      <c r="B55" s="186"/>
      <c r="C55" s="186"/>
      <c r="D55" s="186"/>
      <c r="E55" s="186"/>
      <c r="F55" s="186"/>
      <c r="G55" s="187"/>
      <c r="H55" s="201"/>
      <c r="I55" s="187"/>
    </row>
    <row r="56" spans="1:12" ht="31.2" x14ac:dyDescent="0.3">
      <c r="A56" s="189" t="s">
        <v>1147</v>
      </c>
      <c r="B56" s="190" t="s">
        <v>1148</v>
      </c>
      <c r="C56" s="190" t="s">
        <v>1149</v>
      </c>
      <c r="D56" s="190" t="s">
        <v>1150</v>
      </c>
      <c r="E56" s="96" t="s">
        <v>1151</v>
      </c>
      <c r="F56" s="191" t="s">
        <v>1152</v>
      </c>
      <c r="G56" s="191" t="s">
        <v>1153</v>
      </c>
      <c r="H56" s="191" t="s">
        <v>868</v>
      </c>
      <c r="I56" s="191" t="s">
        <v>1154</v>
      </c>
      <c r="K56" s="89" t="s">
        <v>68</v>
      </c>
      <c r="L56" t="s">
        <v>1159</v>
      </c>
    </row>
    <row r="57" spans="1:12" ht="15.6" x14ac:dyDescent="0.3">
      <c r="A57" s="202" t="s">
        <v>1235</v>
      </c>
      <c r="B57" s="203"/>
      <c r="C57" s="204" t="s">
        <v>1161</v>
      </c>
      <c r="D57" s="94" t="s">
        <v>1190</v>
      </c>
      <c r="E57" s="94"/>
      <c r="F57" s="95">
        <v>293.39</v>
      </c>
      <c r="G57" s="11" t="s">
        <v>860</v>
      </c>
      <c r="H57" s="192" t="s">
        <v>874</v>
      </c>
      <c r="I57" s="12" t="s">
        <v>1197</v>
      </c>
      <c r="K57" s="90" t="s">
        <v>874</v>
      </c>
      <c r="L57">
        <v>1141.55</v>
      </c>
    </row>
    <row r="58" spans="1:12" ht="15.6" x14ac:dyDescent="0.3">
      <c r="A58" s="202" t="s">
        <v>1208</v>
      </c>
      <c r="B58" s="203"/>
      <c r="C58" s="204" t="s">
        <v>1161</v>
      </c>
      <c r="D58" s="94" t="s">
        <v>1209</v>
      </c>
      <c r="E58" s="94"/>
      <c r="F58" s="95">
        <v>17.37</v>
      </c>
      <c r="G58" s="11" t="s">
        <v>860</v>
      </c>
      <c r="H58" s="192" t="s">
        <v>874</v>
      </c>
      <c r="I58" s="12" t="s">
        <v>1197</v>
      </c>
      <c r="K58" s="99" t="s">
        <v>860</v>
      </c>
      <c r="L58">
        <v>389.94</v>
      </c>
    </row>
    <row r="59" spans="1:12" x14ac:dyDescent="0.3">
      <c r="A59" s="91" t="s">
        <v>591</v>
      </c>
      <c r="B59" s="92" t="s">
        <v>1182</v>
      </c>
      <c r="C59" s="93" t="s">
        <v>1236</v>
      </c>
      <c r="D59" s="205" t="s">
        <v>1237</v>
      </c>
      <c r="E59" s="205"/>
      <c r="F59" s="95">
        <v>35.630000000000003</v>
      </c>
      <c r="G59" s="11" t="s">
        <v>861</v>
      </c>
      <c r="H59" s="192" t="s">
        <v>874</v>
      </c>
      <c r="I59" s="12" t="s">
        <v>1158</v>
      </c>
      <c r="K59" s="99" t="s">
        <v>861</v>
      </c>
      <c r="L59">
        <v>686.12999999999988</v>
      </c>
    </row>
    <row r="60" spans="1:12" x14ac:dyDescent="0.3">
      <c r="A60" s="91" t="s">
        <v>1238</v>
      </c>
      <c r="B60" s="92" t="s">
        <v>1182</v>
      </c>
      <c r="C60" s="93" t="s">
        <v>1236</v>
      </c>
      <c r="D60" s="94" t="s">
        <v>1239</v>
      </c>
      <c r="E60" s="94"/>
      <c r="F60" s="95">
        <v>6.72</v>
      </c>
      <c r="G60" s="11" t="s">
        <v>861</v>
      </c>
      <c r="H60" s="192" t="s">
        <v>874</v>
      </c>
      <c r="I60" s="12" t="s">
        <v>1158</v>
      </c>
      <c r="K60" s="99" t="s">
        <v>1212</v>
      </c>
      <c r="L60">
        <v>65.48</v>
      </c>
    </row>
    <row r="61" spans="1:12" x14ac:dyDescent="0.3">
      <c r="A61" s="91" t="s">
        <v>1240</v>
      </c>
      <c r="B61" s="92" t="s">
        <v>1182</v>
      </c>
      <c r="C61" s="93" t="s">
        <v>1236</v>
      </c>
      <c r="D61" s="205" t="s">
        <v>1241</v>
      </c>
      <c r="E61" s="205"/>
      <c r="F61" s="95">
        <v>35.630000000000003</v>
      </c>
      <c r="G61" s="11" t="s">
        <v>861</v>
      </c>
      <c r="H61" s="192" t="s">
        <v>874</v>
      </c>
      <c r="I61" s="12" t="s">
        <v>1158</v>
      </c>
      <c r="K61" s="90" t="s">
        <v>122</v>
      </c>
      <c r="L61">
        <v>1141.55</v>
      </c>
    </row>
    <row r="62" spans="1:12" x14ac:dyDescent="0.3">
      <c r="A62" s="91" t="s">
        <v>624</v>
      </c>
      <c r="B62" s="92" t="s">
        <v>1182</v>
      </c>
      <c r="C62" s="93" t="s">
        <v>1236</v>
      </c>
      <c r="D62" s="94" t="s">
        <v>1242</v>
      </c>
      <c r="E62" s="94"/>
      <c r="F62" s="95">
        <v>51.38</v>
      </c>
      <c r="G62" s="11" t="s">
        <v>861</v>
      </c>
      <c r="H62" s="192" t="s">
        <v>874</v>
      </c>
      <c r="I62" s="12" t="s">
        <v>1158</v>
      </c>
    </row>
    <row r="63" spans="1:12" x14ac:dyDescent="0.3">
      <c r="A63" s="91" t="s">
        <v>1243</v>
      </c>
      <c r="B63" s="92" t="s">
        <v>1182</v>
      </c>
      <c r="C63" s="93" t="s">
        <v>1236</v>
      </c>
      <c r="D63" s="205" t="s">
        <v>1244</v>
      </c>
      <c r="E63" s="205"/>
      <c r="F63" s="95">
        <v>25.14</v>
      </c>
      <c r="G63" s="11" t="s">
        <v>861</v>
      </c>
      <c r="H63" s="192" t="s">
        <v>874</v>
      </c>
      <c r="I63" s="12" t="s">
        <v>1158</v>
      </c>
    </row>
    <row r="64" spans="1:12" x14ac:dyDescent="0.3">
      <c r="A64" s="91" t="s">
        <v>1245</v>
      </c>
      <c r="B64" s="92" t="s">
        <v>1182</v>
      </c>
      <c r="C64" s="93" t="s">
        <v>1236</v>
      </c>
      <c r="D64" s="94" t="s">
        <v>1246</v>
      </c>
      <c r="E64" s="94"/>
      <c r="F64" s="95">
        <v>25.14</v>
      </c>
      <c r="G64" s="11" t="s">
        <v>861</v>
      </c>
      <c r="H64" s="192" t="s">
        <v>874</v>
      </c>
      <c r="I64" s="12" t="s">
        <v>1158</v>
      </c>
    </row>
    <row r="65" spans="1:9" ht="21.6" x14ac:dyDescent="0.3">
      <c r="A65" s="91" t="s">
        <v>1247</v>
      </c>
      <c r="B65" s="92" t="s">
        <v>1182</v>
      </c>
      <c r="C65" s="93" t="s">
        <v>1236</v>
      </c>
      <c r="D65" s="205" t="s">
        <v>1248</v>
      </c>
      <c r="E65" s="205"/>
      <c r="F65" s="95">
        <v>51.56</v>
      </c>
      <c r="G65" s="11" t="s">
        <v>861</v>
      </c>
      <c r="H65" s="192" t="s">
        <v>874</v>
      </c>
      <c r="I65" s="12" t="s">
        <v>1158</v>
      </c>
    </row>
    <row r="66" spans="1:9" x14ac:dyDescent="0.3">
      <c r="A66" s="91" t="s">
        <v>1249</v>
      </c>
      <c r="B66" s="92"/>
      <c r="C66" s="93" t="s">
        <v>1216</v>
      </c>
      <c r="D66" s="94" t="s">
        <v>1226</v>
      </c>
      <c r="E66" s="94"/>
      <c r="F66" s="95">
        <v>17.03</v>
      </c>
      <c r="G66" s="11" t="s">
        <v>1212</v>
      </c>
      <c r="H66" s="192" t="s">
        <v>874</v>
      </c>
      <c r="I66" s="12" t="s">
        <v>1197</v>
      </c>
    </row>
    <row r="67" spans="1:9" x14ac:dyDescent="0.3">
      <c r="A67" s="91" t="s">
        <v>469</v>
      </c>
      <c r="B67" s="92"/>
      <c r="C67" s="93" t="s">
        <v>1161</v>
      </c>
      <c r="D67" s="94" t="s">
        <v>1196</v>
      </c>
      <c r="E67" s="94"/>
      <c r="F67" s="95">
        <v>17.36</v>
      </c>
      <c r="G67" s="11" t="s">
        <v>860</v>
      </c>
      <c r="H67" s="192" t="s">
        <v>874</v>
      </c>
      <c r="I67" s="12" t="s">
        <v>1197</v>
      </c>
    </row>
    <row r="68" spans="1:9" x14ac:dyDescent="0.3">
      <c r="A68" s="91" t="s">
        <v>1250</v>
      </c>
      <c r="B68" s="92" t="s">
        <v>1219</v>
      </c>
      <c r="C68" s="93" t="s">
        <v>1236</v>
      </c>
      <c r="D68" s="205" t="s">
        <v>1251</v>
      </c>
      <c r="E68" s="205"/>
      <c r="F68" s="95">
        <v>77.77</v>
      </c>
      <c r="G68" s="11" t="s">
        <v>861</v>
      </c>
      <c r="H68" s="192" t="s">
        <v>874</v>
      </c>
      <c r="I68" s="12" t="s">
        <v>1158</v>
      </c>
    </row>
    <row r="69" spans="1:9" x14ac:dyDescent="0.3">
      <c r="A69" s="91" t="s">
        <v>1252</v>
      </c>
      <c r="B69" s="92" t="s">
        <v>1219</v>
      </c>
      <c r="C69" s="93" t="s">
        <v>1236</v>
      </c>
      <c r="D69" s="205" t="s">
        <v>1253</v>
      </c>
      <c r="E69" s="205"/>
      <c r="F69" s="95">
        <v>77.59</v>
      </c>
      <c r="G69" s="11" t="s">
        <v>861</v>
      </c>
      <c r="H69" s="192" t="s">
        <v>874</v>
      </c>
      <c r="I69" s="12" t="s">
        <v>1158</v>
      </c>
    </row>
    <row r="70" spans="1:9" x14ac:dyDescent="0.3">
      <c r="A70" s="91" t="s">
        <v>1254</v>
      </c>
      <c r="B70" s="92" t="s">
        <v>1219</v>
      </c>
      <c r="C70" s="93" t="s">
        <v>1236</v>
      </c>
      <c r="D70" s="94" t="s">
        <v>1255</v>
      </c>
      <c r="E70" s="94"/>
      <c r="F70" s="95">
        <v>33.07</v>
      </c>
      <c r="G70" s="11" t="s">
        <v>861</v>
      </c>
      <c r="H70" s="192" t="s">
        <v>874</v>
      </c>
      <c r="I70" s="12" t="s">
        <v>1158</v>
      </c>
    </row>
    <row r="71" spans="1:9" x14ac:dyDescent="0.3">
      <c r="A71" s="91" t="s">
        <v>1256</v>
      </c>
      <c r="B71" s="92"/>
      <c r="C71" s="93" t="s">
        <v>1216</v>
      </c>
      <c r="D71" s="94" t="s">
        <v>1257</v>
      </c>
      <c r="E71" s="94"/>
      <c r="F71" s="95">
        <v>5.17</v>
      </c>
      <c r="G71" s="11" t="s">
        <v>1212</v>
      </c>
      <c r="H71" s="192" t="s">
        <v>874</v>
      </c>
      <c r="I71" s="12" t="s">
        <v>1197</v>
      </c>
    </row>
    <row r="72" spans="1:9" x14ac:dyDescent="0.3">
      <c r="A72" s="91" t="s">
        <v>1258</v>
      </c>
      <c r="B72" s="92"/>
      <c r="C72" s="93" t="s">
        <v>1216</v>
      </c>
      <c r="D72" s="94" t="s">
        <v>1259</v>
      </c>
      <c r="E72" s="94"/>
      <c r="F72" s="95">
        <v>12.99</v>
      </c>
      <c r="G72" s="11" t="s">
        <v>1212</v>
      </c>
      <c r="H72" s="192" t="s">
        <v>874</v>
      </c>
      <c r="I72" s="12" t="s">
        <v>1197</v>
      </c>
    </row>
    <row r="73" spans="1:9" x14ac:dyDescent="0.3">
      <c r="A73" s="91" t="s">
        <v>1260</v>
      </c>
      <c r="B73" s="92"/>
      <c r="C73" s="93" t="s">
        <v>1216</v>
      </c>
      <c r="D73" s="94" t="s">
        <v>1225</v>
      </c>
      <c r="E73" s="94"/>
      <c r="F73" s="95">
        <v>1.7</v>
      </c>
      <c r="G73" s="11" t="s">
        <v>860</v>
      </c>
      <c r="H73" s="192" t="s">
        <v>874</v>
      </c>
      <c r="I73" s="12" t="s">
        <v>1197</v>
      </c>
    </row>
    <row r="74" spans="1:9" x14ac:dyDescent="0.3">
      <c r="A74" s="91" t="s">
        <v>1261</v>
      </c>
      <c r="B74" s="92"/>
      <c r="C74" s="93" t="s">
        <v>1216</v>
      </c>
      <c r="D74" s="94" t="s">
        <v>1262</v>
      </c>
      <c r="E74" s="94"/>
      <c r="F74" s="95">
        <v>13.26</v>
      </c>
      <c r="G74" s="11" t="s">
        <v>1212</v>
      </c>
      <c r="H74" s="192" t="s">
        <v>874</v>
      </c>
      <c r="I74" s="12" t="s">
        <v>1197</v>
      </c>
    </row>
    <row r="75" spans="1:9" x14ac:dyDescent="0.3">
      <c r="A75" s="91" t="s">
        <v>1168</v>
      </c>
      <c r="B75" s="92"/>
      <c r="C75" s="93" t="s">
        <v>1161</v>
      </c>
      <c r="D75" s="94" t="s">
        <v>1169</v>
      </c>
      <c r="E75" s="94" t="s">
        <v>890</v>
      </c>
      <c r="F75" s="95">
        <v>4.03</v>
      </c>
      <c r="G75" s="11" t="s">
        <v>860</v>
      </c>
      <c r="H75" s="192" t="s">
        <v>874</v>
      </c>
      <c r="I75" s="12" t="s">
        <v>1170</v>
      </c>
    </row>
    <row r="76" spans="1:9" x14ac:dyDescent="0.3">
      <c r="A76" s="91" t="s">
        <v>1171</v>
      </c>
      <c r="B76" s="92"/>
      <c r="C76" s="93" t="s">
        <v>1161</v>
      </c>
      <c r="D76" s="94" t="s">
        <v>1172</v>
      </c>
      <c r="E76" s="94" t="s">
        <v>890</v>
      </c>
      <c r="F76" s="95">
        <v>3.8</v>
      </c>
      <c r="G76" s="11" t="s">
        <v>860</v>
      </c>
      <c r="H76" s="192" t="s">
        <v>874</v>
      </c>
      <c r="I76" s="12" t="s">
        <v>1170</v>
      </c>
    </row>
    <row r="77" spans="1:9" x14ac:dyDescent="0.3">
      <c r="A77" s="91" t="s">
        <v>1263</v>
      </c>
      <c r="B77" s="92" t="s">
        <v>1219</v>
      </c>
      <c r="C77" s="93" t="s">
        <v>1264</v>
      </c>
      <c r="D77" s="94" t="s">
        <v>1265</v>
      </c>
      <c r="E77" s="94"/>
      <c r="F77" s="95">
        <v>14.91</v>
      </c>
      <c r="G77" s="11" t="s">
        <v>861</v>
      </c>
      <c r="H77" s="192" t="s">
        <v>874</v>
      </c>
      <c r="I77" s="12" t="s">
        <v>1206</v>
      </c>
    </row>
    <row r="78" spans="1:9" x14ac:dyDescent="0.3">
      <c r="A78" s="91" t="s">
        <v>1266</v>
      </c>
      <c r="B78" s="92" t="s">
        <v>1219</v>
      </c>
      <c r="C78" s="93" t="s">
        <v>1236</v>
      </c>
      <c r="D78" s="94" t="s">
        <v>1267</v>
      </c>
      <c r="E78" s="94"/>
      <c r="F78" s="95">
        <v>26.43</v>
      </c>
      <c r="G78" s="11" t="s">
        <v>861</v>
      </c>
      <c r="H78" s="192" t="s">
        <v>874</v>
      </c>
      <c r="I78" s="12" t="s">
        <v>1158</v>
      </c>
    </row>
    <row r="79" spans="1:9" x14ac:dyDescent="0.3">
      <c r="A79" s="91" t="s">
        <v>1268</v>
      </c>
      <c r="B79" s="92" t="s">
        <v>1219</v>
      </c>
      <c r="C79" s="93" t="s">
        <v>1236</v>
      </c>
      <c r="D79" s="205" t="s">
        <v>1269</v>
      </c>
      <c r="E79" s="205"/>
      <c r="F79" s="95">
        <v>25.15</v>
      </c>
      <c r="G79" s="11" t="s">
        <v>861</v>
      </c>
      <c r="H79" s="192" t="s">
        <v>874</v>
      </c>
      <c r="I79" s="12" t="s">
        <v>1158</v>
      </c>
    </row>
    <row r="80" spans="1:9" x14ac:dyDescent="0.3">
      <c r="A80" s="91" t="s">
        <v>1270</v>
      </c>
      <c r="B80" s="92" t="s">
        <v>1219</v>
      </c>
      <c r="C80" s="93" t="s">
        <v>1236</v>
      </c>
      <c r="D80" s="205" t="s">
        <v>1271</v>
      </c>
      <c r="E80" s="205"/>
      <c r="F80" s="95">
        <v>25.14</v>
      </c>
      <c r="G80" s="11" t="s">
        <v>861</v>
      </c>
      <c r="H80" s="192" t="s">
        <v>874</v>
      </c>
      <c r="I80" s="12" t="s">
        <v>1158</v>
      </c>
    </row>
    <row r="81" spans="1:12" x14ac:dyDescent="0.3">
      <c r="A81" s="91" t="s">
        <v>1272</v>
      </c>
      <c r="B81" s="92" t="s">
        <v>1219</v>
      </c>
      <c r="C81" s="93" t="s">
        <v>1236</v>
      </c>
      <c r="D81" s="205" t="s">
        <v>1273</v>
      </c>
      <c r="E81" s="205"/>
      <c r="F81" s="95">
        <v>51.56</v>
      </c>
      <c r="G81" s="11" t="s">
        <v>861</v>
      </c>
      <c r="H81" s="192" t="s">
        <v>874</v>
      </c>
      <c r="I81" s="12" t="s">
        <v>1158</v>
      </c>
    </row>
    <row r="82" spans="1:12" x14ac:dyDescent="0.3">
      <c r="A82" s="91" t="s">
        <v>1274</v>
      </c>
      <c r="B82" s="92"/>
      <c r="C82" s="93" t="s">
        <v>1216</v>
      </c>
      <c r="D82" s="94" t="s">
        <v>1224</v>
      </c>
      <c r="E82" s="94"/>
      <c r="F82" s="95">
        <v>17.03</v>
      </c>
      <c r="G82" s="11" t="s">
        <v>1212</v>
      </c>
      <c r="H82" s="192" t="s">
        <v>874</v>
      </c>
      <c r="I82" s="12" t="s">
        <v>1197</v>
      </c>
    </row>
    <row r="83" spans="1:12" x14ac:dyDescent="0.3">
      <c r="A83" s="91" t="s">
        <v>1275</v>
      </c>
      <c r="B83" s="92"/>
      <c r="C83" s="93" t="s">
        <v>1161</v>
      </c>
      <c r="D83" s="94" t="s">
        <v>1196</v>
      </c>
      <c r="E83" s="94"/>
      <c r="F83" s="95">
        <v>16.989999999999998</v>
      </c>
      <c r="G83" s="11" t="s">
        <v>860</v>
      </c>
      <c r="H83" s="192" t="s">
        <v>874</v>
      </c>
      <c r="I83" s="12" t="s">
        <v>1197</v>
      </c>
    </row>
    <row r="84" spans="1:12" x14ac:dyDescent="0.3">
      <c r="A84" s="91" t="s">
        <v>1276</v>
      </c>
      <c r="B84" s="92" t="s">
        <v>1210</v>
      </c>
      <c r="C84" s="93" t="s">
        <v>1236</v>
      </c>
      <c r="D84" s="94" t="s">
        <v>1277</v>
      </c>
      <c r="E84" s="94"/>
      <c r="F84" s="95">
        <v>52.81</v>
      </c>
      <c r="G84" s="11" t="s">
        <v>861</v>
      </c>
      <c r="H84" s="192" t="s">
        <v>874</v>
      </c>
      <c r="I84" s="12" t="s">
        <v>1158</v>
      </c>
    </row>
    <row r="85" spans="1:12" x14ac:dyDescent="0.3">
      <c r="A85" s="91" t="s">
        <v>1278</v>
      </c>
      <c r="B85" s="92"/>
      <c r="C85" s="93" t="s">
        <v>1161</v>
      </c>
      <c r="D85" s="94" t="s">
        <v>1279</v>
      </c>
      <c r="E85" s="94"/>
      <c r="F85" s="95">
        <v>35.299999999999997</v>
      </c>
      <c r="G85" s="11" t="s">
        <v>860</v>
      </c>
      <c r="H85" s="192" t="s">
        <v>874</v>
      </c>
      <c r="I85" s="12" t="s">
        <v>1197</v>
      </c>
    </row>
    <row r="86" spans="1:12" x14ac:dyDescent="0.3">
      <c r="A86" s="91" t="s">
        <v>1280</v>
      </c>
      <c r="B86" s="92" t="s">
        <v>1210</v>
      </c>
      <c r="C86" s="93" t="s">
        <v>1174</v>
      </c>
      <c r="D86" s="94" t="s">
        <v>1281</v>
      </c>
      <c r="E86" s="94"/>
      <c r="F86" s="95">
        <v>3.15</v>
      </c>
      <c r="G86" s="11" t="s">
        <v>861</v>
      </c>
      <c r="H86" s="192" t="s">
        <v>874</v>
      </c>
      <c r="I86" s="12" t="s">
        <v>1158</v>
      </c>
    </row>
    <row r="87" spans="1:12" x14ac:dyDescent="0.3">
      <c r="A87" s="91" t="s">
        <v>1282</v>
      </c>
      <c r="B87" s="92" t="s">
        <v>1210</v>
      </c>
      <c r="C87" s="93" t="s">
        <v>1216</v>
      </c>
      <c r="D87" s="94" t="s">
        <v>1283</v>
      </c>
      <c r="E87" s="94"/>
      <c r="F87" s="95">
        <v>4.0999999999999996</v>
      </c>
      <c r="G87" s="11" t="s">
        <v>861</v>
      </c>
      <c r="H87" s="192" t="s">
        <v>874</v>
      </c>
      <c r="I87" s="12" t="s">
        <v>1158</v>
      </c>
    </row>
    <row r="88" spans="1:12" x14ac:dyDescent="0.3">
      <c r="A88" s="91" t="s">
        <v>1284</v>
      </c>
      <c r="B88" s="92" t="s">
        <v>1210</v>
      </c>
      <c r="C88" s="93" t="s">
        <v>1236</v>
      </c>
      <c r="D88" s="94" t="s">
        <v>1285</v>
      </c>
      <c r="E88" s="94"/>
      <c r="F88" s="95">
        <v>18.329999999999998</v>
      </c>
      <c r="G88" s="11" t="s">
        <v>861</v>
      </c>
      <c r="H88" s="192" t="s">
        <v>874</v>
      </c>
      <c r="I88" s="12" t="s">
        <v>1158</v>
      </c>
    </row>
    <row r="89" spans="1:12" x14ac:dyDescent="0.3">
      <c r="A89" s="91" t="s">
        <v>1286</v>
      </c>
      <c r="B89" s="92" t="s">
        <v>1210</v>
      </c>
      <c r="C89" s="93" t="s">
        <v>1236</v>
      </c>
      <c r="D89" s="94" t="s">
        <v>1277</v>
      </c>
      <c r="E89" s="94"/>
      <c r="F89" s="95">
        <v>35.630000000000003</v>
      </c>
      <c r="G89" s="11" t="s">
        <v>861</v>
      </c>
      <c r="H89" s="192" t="s">
        <v>874</v>
      </c>
      <c r="I89" s="12" t="s">
        <v>1158</v>
      </c>
    </row>
    <row r="90" spans="1:12" x14ac:dyDescent="0.3">
      <c r="A90" s="91" t="s">
        <v>1287</v>
      </c>
      <c r="B90" s="92" t="s">
        <v>1210</v>
      </c>
      <c r="C90" s="93" t="s">
        <v>1236</v>
      </c>
      <c r="D90" s="94" t="s">
        <v>1281</v>
      </c>
      <c r="E90" s="94"/>
      <c r="F90" s="95">
        <v>9.2899999999999991</v>
      </c>
      <c r="G90" s="11" t="s">
        <v>861</v>
      </c>
      <c r="H90" s="192" t="s">
        <v>874</v>
      </c>
      <c r="I90" s="12" t="s">
        <v>1158</v>
      </c>
    </row>
    <row r="91" spans="1:12" ht="15.6" x14ac:dyDescent="0.3">
      <c r="A91" s="194" t="s">
        <v>1199</v>
      </c>
      <c r="B91" s="195"/>
      <c r="C91" s="195"/>
      <c r="D91" s="196"/>
      <c r="E91" s="196"/>
      <c r="F91" s="197">
        <f>SUM(F57:F90)</f>
        <v>1141.5499999999997</v>
      </c>
      <c r="G91" s="198"/>
      <c r="H91" s="199"/>
      <c r="I91" s="200"/>
    </row>
    <row r="92" spans="1:12" ht="15.6" x14ac:dyDescent="0.3">
      <c r="A92" s="186" t="s">
        <v>1288</v>
      </c>
      <c r="B92" s="186"/>
      <c r="C92" s="186"/>
      <c r="D92" s="186"/>
      <c r="E92" s="186"/>
      <c r="F92" s="186"/>
      <c r="G92" s="187"/>
      <c r="H92" s="201"/>
      <c r="I92" s="187"/>
    </row>
    <row r="93" spans="1:12" ht="31.2" x14ac:dyDescent="0.3">
      <c r="A93" s="189" t="s">
        <v>1147</v>
      </c>
      <c r="B93" s="190" t="s">
        <v>1148</v>
      </c>
      <c r="C93" s="190" t="s">
        <v>1149</v>
      </c>
      <c r="D93" s="190" t="s">
        <v>1150</v>
      </c>
      <c r="E93" s="96" t="s">
        <v>1151</v>
      </c>
      <c r="F93" s="191" t="s">
        <v>1152</v>
      </c>
      <c r="G93" s="191" t="s">
        <v>1153</v>
      </c>
      <c r="H93" s="191" t="s">
        <v>868</v>
      </c>
      <c r="I93" s="191" t="s">
        <v>1154</v>
      </c>
      <c r="K93" s="89" t="s">
        <v>68</v>
      </c>
      <c r="L93" t="s">
        <v>1159</v>
      </c>
    </row>
    <row r="94" spans="1:12" x14ac:dyDescent="0.3">
      <c r="A94" s="91" t="s">
        <v>1289</v>
      </c>
      <c r="B94" s="92"/>
      <c r="C94" s="93" t="s">
        <v>1161</v>
      </c>
      <c r="D94" s="94" t="s">
        <v>1190</v>
      </c>
      <c r="E94" s="94"/>
      <c r="F94" s="95">
        <v>265.35000000000002</v>
      </c>
      <c r="G94" s="11" t="s">
        <v>860</v>
      </c>
      <c r="H94" s="192" t="s">
        <v>874</v>
      </c>
      <c r="I94" s="12" t="s">
        <v>1197</v>
      </c>
      <c r="K94" s="90" t="s">
        <v>871</v>
      </c>
      <c r="L94">
        <v>610.8499999999998</v>
      </c>
    </row>
    <row r="95" spans="1:12" x14ac:dyDescent="0.3">
      <c r="A95" s="91" t="s">
        <v>1208</v>
      </c>
      <c r="B95" s="92"/>
      <c r="C95" s="93" t="s">
        <v>1161</v>
      </c>
      <c r="D95" s="94" t="s">
        <v>1209</v>
      </c>
      <c r="E95" s="94"/>
      <c r="F95" s="95">
        <v>17.37</v>
      </c>
      <c r="G95" s="11" t="s">
        <v>860</v>
      </c>
      <c r="H95" s="192" t="s">
        <v>874</v>
      </c>
      <c r="I95" s="12" t="s">
        <v>1197</v>
      </c>
      <c r="K95" s="99" t="s">
        <v>1205</v>
      </c>
      <c r="L95">
        <v>610.8499999999998</v>
      </c>
    </row>
    <row r="96" spans="1:12" x14ac:dyDescent="0.3">
      <c r="A96" s="95" t="s">
        <v>1290</v>
      </c>
      <c r="B96" s="95" t="s">
        <v>1219</v>
      </c>
      <c r="C96" s="95" t="s">
        <v>1264</v>
      </c>
      <c r="D96" s="94" t="s">
        <v>1291</v>
      </c>
      <c r="E96" s="94"/>
      <c r="F96" s="95">
        <v>17.78</v>
      </c>
      <c r="G96" s="11" t="s">
        <v>1205</v>
      </c>
      <c r="H96" s="192" t="s">
        <v>871</v>
      </c>
      <c r="I96" s="12" t="s">
        <v>1206</v>
      </c>
      <c r="K96" s="90" t="s">
        <v>874</v>
      </c>
      <c r="L96">
        <v>469.20000000000005</v>
      </c>
    </row>
    <row r="97" spans="1:12" x14ac:dyDescent="0.3">
      <c r="A97" s="95" t="s">
        <v>1292</v>
      </c>
      <c r="B97" s="95" t="s">
        <v>1219</v>
      </c>
      <c r="C97" s="95" t="s">
        <v>1264</v>
      </c>
      <c r="D97" s="94" t="s">
        <v>1291</v>
      </c>
      <c r="E97" s="94"/>
      <c r="F97" s="95">
        <v>17.46</v>
      </c>
      <c r="G97" s="11" t="s">
        <v>1205</v>
      </c>
      <c r="H97" s="192" t="s">
        <v>871</v>
      </c>
      <c r="I97" s="12" t="s">
        <v>1206</v>
      </c>
      <c r="K97" s="99" t="s">
        <v>860</v>
      </c>
      <c r="L97">
        <v>335.76000000000005</v>
      </c>
    </row>
    <row r="98" spans="1:12" x14ac:dyDescent="0.3">
      <c r="A98" s="95" t="s">
        <v>1293</v>
      </c>
      <c r="B98" s="95" t="s">
        <v>1219</v>
      </c>
      <c r="C98" s="95" t="s">
        <v>1264</v>
      </c>
      <c r="D98" s="94" t="s">
        <v>1291</v>
      </c>
      <c r="E98" s="94"/>
      <c r="F98" s="95">
        <v>17.78</v>
      </c>
      <c r="G98" s="11" t="s">
        <v>1205</v>
      </c>
      <c r="H98" s="192" t="s">
        <v>871</v>
      </c>
      <c r="I98" s="12" t="s">
        <v>1206</v>
      </c>
      <c r="K98" s="99" t="s">
        <v>861</v>
      </c>
      <c r="L98">
        <v>99.259999999999991</v>
      </c>
    </row>
    <row r="99" spans="1:12" x14ac:dyDescent="0.3">
      <c r="A99" s="95" t="s">
        <v>1294</v>
      </c>
      <c r="B99" s="95" t="s">
        <v>1219</v>
      </c>
      <c r="C99" s="95" t="s">
        <v>1264</v>
      </c>
      <c r="D99" s="94" t="s">
        <v>1291</v>
      </c>
      <c r="E99" s="94"/>
      <c r="F99" s="95">
        <v>17.78</v>
      </c>
      <c r="G99" s="11" t="s">
        <v>1205</v>
      </c>
      <c r="H99" s="192" t="s">
        <v>871</v>
      </c>
      <c r="I99" s="12" t="s">
        <v>1206</v>
      </c>
      <c r="K99" s="99" t="s">
        <v>1212</v>
      </c>
      <c r="L99">
        <v>34.18</v>
      </c>
    </row>
    <row r="100" spans="1:12" x14ac:dyDescent="0.3">
      <c r="A100" s="95" t="s">
        <v>1295</v>
      </c>
      <c r="B100" s="95" t="s">
        <v>1219</v>
      </c>
      <c r="C100" s="95" t="s">
        <v>1264</v>
      </c>
      <c r="D100" s="94" t="s">
        <v>1291</v>
      </c>
      <c r="E100" s="94"/>
      <c r="F100" s="95">
        <v>17.78</v>
      </c>
      <c r="G100" s="11" t="s">
        <v>1205</v>
      </c>
      <c r="H100" s="192" t="s">
        <v>871</v>
      </c>
      <c r="I100" s="12" t="s">
        <v>1206</v>
      </c>
      <c r="K100" s="90" t="s">
        <v>122</v>
      </c>
      <c r="L100">
        <v>1080.05</v>
      </c>
    </row>
    <row r="101" spans="1:12" x14ac:dyDescent="0.3">
      <c r="A101" s="95" t="s">
        <v>1296</v>
      </c>
      <c r="B101" s="95" t="s">
        <v>1219</v>
      </c>
      <c r="C101" s="95" t="s">
        <v>1264</v>
      </c>
      <c r="D101" s="94" t="s">
        <v>1291</v>
      </c>
      <c r="E101" s="94"/>
      <c r="F101" s="95">
        <v>17.78</v>
      </c>
      <c r="G101" s="11" t="s">
        <v>1205</v>
      </c>
      <c r="H101" s="192" t="s">
        <v>871</v>
      </c>
      <c r="I101" s="12" t="s">
        <v>1206</v>
      </c>
    </row>
    <row r="102" spans="1:12" x14ac:dyDescent="0.3">
      <c r="A102" s="95" t="s">
        <v>1297</v>
      </c>
      <c r="B102" s="95" t="s">
        <v>1210</v>
      </c>
      <c r="C102" s="95" t="s">
        <v>1264</v>
      </c>
      <c r="D102" s="94" t="s">
        <v>1291</v>
      </c>
      <c r="E102" s="94"/>
      <c r="F102" s="95">
        <v>17.78</v>
      </c>
      <c r="G102" s="11" t="s">
        <v>1205</v>
      </c>
      <c r="H102" s="192" t="s">
        <v>871</v>
      </c>
      <c r="I102" s="12" t="s">
        <v>1206</v>
      </c>
    </row>
    <row r="103" spans="1:12" x14ac:dyDescent="0.3">
      <c r="A103" s="95" t="s">
        <v>1298</v>
      </c>
      <c r="B103" s="95" t="s">
        <v>1210</v>
      </c>
      <c r="C103" s="95" t="s">
        <v>1264</v>
      </c>
      <c r="D103" s="94" t="s">
        <v>1291</v>
      </c>
      <c r="E103" s="94"/>
      <c r="F103" s="95">
        <v>17.78</v>
      </c>
      <c r="G103" s="11" t="s">
        <v>1205</v>
      </c>
      <c r="H103" s="192" t="s">
        <v>871</v>
      </c>
      <c r="I103" s="12" t="s">
        <v>1206</v>
      </c>
    </row>
    <row r="104" spans="1:12" x14ac:dyDescent="0.3">
      <c r="A104" s="95" t="s">
        <v>1299</v>
      </c>
      <c r="B104" s="95" t="s">
        <v>1210</v>
      </c>
      <c r="C104" s="95" t="s">
        <v>1264</v>
      </c>
      <c r="D104" s="94" t="s">
        <v>1291</v>
      </c>
      <c r="E104" s="94"/>
      <c r="F104" s="95">
        <v>17.899999999999999</v>
      </c>
      <c r="G104" s="11" t="s">
        <v>1205</v>
      </c>
      <c r="H104" s="192" t="s">
        <v>871</v>
      </c>
      <c r="I104" s="12" t="s">
        <v>1206</v>
      </c>
    </row>
    <row r="105" spans="1:12" x14ac:dyDescent="0.3">
      <c r="A105" s="91" t="s">
        <v>1300</v>
      </c>
      <c r="B105" s="92" t="s">
        <v>1210</v>
      </c>
      <c r="C105" s="93" t="s">
        <v>1156</v>
      </c>
      <c r="D105" s="94" t="s">
        <v>1301</v>
      </c>
      <c r="E105" s="94"/>
      <c r="F105" s="95">
        <v>12.04</v>
      </c>
      <c r="G105" s="11" t="s">
        <v>861</v>
      </c>
      <c r="H105" s="192" t="s">
        <v>874</v>
      </c>
      <c r="I105" s="12" t="s">
        <v>1197</v>
      </c>
    </row>
    <row r="106" spans="1:12" x14ac:dyDescent="0.3">
      <c r="A106" s="91" t="s">
        <v>1302</v>
      </c>
      <c r="B106" s="92"/>
      <c r="C106" s="93" t="s">
        <v>1161</v>
      </c>
      <c r="D106" s="94" t="s">
        <v>1196</v>
      </c>
      <c r="E106" s="94"/>
      <c r="F106" s="95">
        <v>21.26</v>
      </c>
      <c r="G106" s="11" t="s">
        <v>860</v>
      </c>
      <c r="H106" s="192" t="s">
        <v>874</v>
      </c>
      <c r="I106" s="12" t="s">
        <v>1197</v>
      </c>
    </row>
    <row r="107" spans="1:12" x14ac:dyDescent="0.3">
      <c r="A107" s="91" t="s">
        <v>1303</v>
      </c>
      <c r="B107" s="92" t="s">
        <v>1219</v>
      </c>
      <c r="C107" s="93" t="s">
        <v>1264</v>
      </c>
      <c r="D107" s="94" t="s">
        <v>1304</v>
      </c>
      <c r="E107" s="94"/>
      <c r="F107" s="95">
        <v>17.899999999999999</v>
      </c>
      <c r="G107" s="11" t="s">
        <v>1205</v>
      </c>
      <c r="H107" s="192" t="s">
        <v>871</v>
      </c>
      <c r="I107" s="12" t="s">
        <v>1206</v>
      </c>
    </row>
    <row r="108" spans="1:12" x14ac:dyDescent="0.3">
      <c r="A108" s="91" t="s">
        <v>1305</v>
      </c>
      <c r="B108" s="92" t="s">
        <v>1219</v>
      </c>
      <c r="C108" s="93" t="s">
        <v>1264</v>
      </c>
      <c r="D108" s="94" t="s">
        <v>1304</v>
      </c>
      <c r="E108" s="94"/>
      <c r="F108" s="95">
        <v>17.78</v>
      </c>
      <c r="G108" s="11" t="s">
        <v>1205</v>
      </c>
      <c r="H108" s="192" t="s">
        <v>871</v>
      </c>
      <c r="I108" s="12" t="s">
        <v>1206</v>
      </c>
    </row>
    <row r="109" spans="1:12" x14ac:dyDescent="0.3">
      <c r="A109" s="91" t="s">
        <v>1306</v>
      </c>
      <c r="B109" s="92" t="s">
        <v>1219</v>
      </c>
      <c r="C109" s="93" t="s">
        <v>1264</v>
      </c>
      <c r="D109" s="94" t="s">
        <v>1304</v>
      </c>
      <c r="E109" s="94"/>
      <c r="F109" s="95">
        <v>17.78</v>
      </c>
      <c r="G109" s="11" t="s">
        <v>1205</v>
      </c>
      <c r="H109" s="192" t="s">
        <v>871</v>
      </c>
      <c r="I109" s="12" t="s">
        <v>1206</v>
      </c>
    </row>
    <row r="110" spans="1:12" x14ac:dyDescent="0.3">
      <c r="A110" s="91" t="s">
        <v>1307</v>
      </c>
      <c r="B110" s="92" t="s">
        <v>1219</v>
      </c>
      <c r="C110" s="93" t="s">
        <v>1264</v>
      </c>
      <c r="D110" s="94" t="s">
        <v>1304</v>
      </c>
      <c r="E110" s="94"/>
      <c r="F110" s="95">
        <v>17.78</v>
      </c>
      <c r="G110" s="11" t="s">
        <v>1205</v>
      </c>
      <c r="H110" s="192" t="s">
        <v>871</v>
      </c>
      <c r="I110" s="12" t="s">
        <v>1206</v>
      </c>
    </row>
    <row r="111" spans="1:12" x14ac:dyDescent="0.3">
      <c r="A111" s="91" t="s">
        <v>1308</v>
      </c>
      <c r="B111" s="92" t="s">
        <v>1219</v>
      </c>
      <c r="C111" s="93" t="s">
        <v>1264</v>
      </c>
      <c r="D111" s="94" t="s">
        <v>1304</v>
      </c>
      <c r="E111" s="94"/>
      <c r="F111" s="95">
        <v>17.78</v>
      </c>
      <c r="G111" s="11" t="s">
        <v>1205</v>
      </c>
      <c r="H111" s="192" t="s">
        <v>871</v>
      </c>
      <c r="I111" s="12" t="s">
        <v>1206</v>
      </c>
    </row>
    <row r="112" spans="1:12" x14ac:dyDescent="0.3">
      <c r="A112" s="91" t="s">
        <v>1309</v>
      </c>
      <c r="B112" s="92" t="s">
        <v>1219</v>
      </c>
      <c r="C112" s="93" t="s">
        <v>1264</v>
      </c>
      <c r="D112" s="94" t="s">
        <v>1304</v>
      </c>
      <c r="E112" s="94"/>
      <c r="F112" s="95">
        <v>17.78</v>
      </c>
      <c r="G112" s="11" t="s">
        <v>1205</v>
      </c>
      <c r="H112" s="192" t="s">
        <v>871</v>
      </c>
      <c r="I112" s="12" t="s">
        <v>1206</v>
      </c>
    </row>
    <row r="113" spans="1:9" x14ac:dyDescent="0.3">
      <c r="A113" s="91" t="s">
        <v>1310</v>
      </c>
      <c r="B113" s="92" t="s">
        <v>1219</v>
      </c>
      <c r="C113" s="93" t="s">
        <v>1264</v>
      </c>
      <c r="D113" s="94" t="s">
        <v>1304</v>
      </c>
      <c r="E113" s="94"/>
      <c r="F113" s="95">
        <v>17.78</v>
      </c>
      <c r="G113" s="11" t="s">
        <v>1205</v>
      </c>
      <c r="H113" s="192" t="s">
        <v>871</v>
      </c>
      <c r="I113" s="12" t="s">
        <v>1206</v>
      </c>
    </row>
    <row r="114" spans="1:9" x14ac:dyDescent="0.3">
      <c r="A114" s="91" t="s">
        <v>1311</v>
      </c>
      <c r="B114" s="92" t="s">
        <v>1219</v>
      </c>
      <c r="C114" s="93" t="s">
        <v>1264</v>
      </c>
      <c r="D114" s="94" t="s">
        <v>1312</v>
      </c>
      <c r="E114" s="94"/>
      <c r="F114" s="95">
        <v>15.68</v>
      </c>
      <c r="G114" s="11" t="s">
        <v>1205</v>
      </c>
      <c r="H114" s="192" t="s">
        <v>871</v>
      </c>
      <c r="I114" s="12" t="s">
        <v>1206</v>
      </c>
    </row>
    <row r="115" spans="1:9" x14ac:dyDescent="0.3">
      <c r="A115" s="91" t="s">
        <v>1313</v>
      </c>
      <c r="B115" s="92"/>
      <c r="C115" s="93" t="s">
        <v>1216</v>
      </c>
      <c r="D115" s="94" t="s">
        <v>1259</v>
      </c>
      <c r="E115" s="94"/>
      <c r="F115" s="95">
        <v>13.68</v>
      </c>
      <c r="G115" s="11" t="s">
        <v>1212</v>
      </c>
      <c r="H115" s="192" t="s">
        <v>1314</v>
      </c>
      <c r="I115" s="12" t="s">
        <v>1197</v>
      </c>
    </row>
    <row r="116" spans="1:9" x14ac:dyDescent="0.3">
      <c r="A116" s="91" t="s">
        <v>1315</v>
      </c>
      <c r="B116" s="92"/>
      <c r="C116" s="93" t="s">
        <v>1216</v>
      </c>
      <c r="D116" s="94" t="s">
        <v>1225</v>
      </c>
      <c r="E116" s="94"/>
      <c r="F116" s="95">
        <v>1.7</v>
      </c>
      <c r="G116" s="11" t="s">
        <v>1212</v>
      </c>
      <c r="H116" s="192" t="s">
        <v>1314</v>
      </c>
      <c r="I116" s="12" t="s">
        <v>1197</v>
      </c>
    </row>
    <row r="117" spans="1:9" x14ac:dyDescent="0.3">
      <c r="A117" s="91" t="s">
        <v>1316</v>
      </c>
      <c r="B117" s="92"/>
      <c r="C117" s="93" t="s">
        <v>1216</v>
      </c>
      <c r="D117" s="94" t="s">
        <v>1262</v>
      </c>
      <c r="E117" s="94"/>
      <c r="F117" s="95">
        <v>13.94</v>
      </c>
      <c r="G117" s="11" t="s">
        <v>1212</v>
      </c>
      <c r="H117" s="192" t="s">
        <v>1314</v>
      </c>
      <c r="I117" s="12" t="s">
        <v>1197</v>
      </c>
    </row>
    <row r="118" spans="1:9" x14ac:dyDescent="0.3">
      <c r="A118" s="91" t="s">
        <v>1171</v>
      </c>
      <c r="B118" s="92"/>
      <c r="C118" s="93" t="s">
        <v>1161</v>
      </c>
      <c r="D118" s="94" t="s">
        <v>1317</v>
      </c>
      <c r="E118" s="94" t="s">
        <v>890</v>
      </c>
      <c r="F118" s="95">
        <v>3.8</v>
      </c>
      <c r="G118" s="11" t="s">
        <v>860</v>
      </c>
      <c r="H118" s="192" t="s">
        <v>1314</v>
      </c>
      <c r="I118" s="12" t="s">
        <v>1170</v>
      </c>
    </row>
    <row r="119" spans="1:9" x14ac:dyDescent="0.3">
      <c r="A119" s="95" t="s">
        <v>1318</v>
      </c>
      <c r="B119" s="95" t="s">
        <v>1219</v>
      </c>
      <c r="C119" s="95" t="s">
        <v>1264</v>
      </c>
      <c r="D119" s="95" t="s">
        <v>1319</v>
      </c>
      <c r="E119" s="95"/>
      <c r="F119" s="95">
        <v>35.46</v>
      </c>
      <c r="G119" s="206" t="s">
        <v>1205</v>
      </c>
      <c r="H119" s="192" t="s">
        <v>871</v>
      </c>
      <c r="I119" s="206" t="s">
        <v>1206</v>
      </c>
    </row>
    <row r="120" spans="1:9" x14ac:dyDescent="0.3">
      <c r="A120" s="91" t="s">
        <v>1320</v>
      </c>
      <c r="B120" s="92" t="s">
        <v>1219</v>
      </c>
      <c r="C120" s="93" t="s">
        <v>1264</v>
      </c>
      <c r="D120" s="94" t="s">
        <v>1321</v>
      </c>
      <c r="E120" s="94"/>
      <c r="F120" s="95">
        <v>17.78</v>
      </c>
      <c r="G120" s="11" t="s">
        <v>1205</v>
      </c>
      <c r="H120" s="192" t="s">
        <v>871</v>
      </c>
      <c r="I120" s="206" t="s">
        <v>1206</v>
      </c>
    </row>
    <row r="121" spans="1:9" x14ac:dyDescent="0.3">
      <c r="A121" s="95" t="s">
        <v>1322</v>
      </c>
      <c r="B121" s="95" t="s">
        <v>1219</v>
      </c>
      <c r="C121" s="192" t="s">
        <v>1323</v>
      </c>
      <c r="D121" s="95" t="s">
        <v>1324</v>
      </c>
      <c r="E121" s="95"/>
      <c r="F121" s="95">
        <v>54.98</v>
      </c>
      <c r="G121" s="11" t="s">
        <v>1205</v>
      </c>
      <c r="H121" s="192" t="s">
        <v>871</v>
      </c>
      <c r="I121" s="206" t="s">
        <v>1206</v>
      </c>
    </row>
    <row r="122" spans="1:9" x14ac:dyDescent="0.3">
      <c r="A122" s="91" t="s">
        <v>1325</v>
      </c>
      <c r="B122" s="92"/>
      <c r="C122" s="93" t="s">
        <v>1161</v>
      </c>
      <c r="D122" s="94" t="s">
        <v>1196</v>
      </c>
      <c r="E122" s="94"/>
      <c r="F122" s="95">
        <v>21.26</v>
      </c>
      <c r="G122" s="11" t="s">
        <v>860</v>
      </c>
      <c r="H122" s="192" t="s">
        <v>874</v>
      </c>
      <c r="I122" s="12" t="s">
        <v>1197</v>
      </c>
    </row>
    <row r="123" spans="1:9" x14ac:dyDescent="0.3">
      <c r="A123" s="91" t="s">
        <v>1326</v>
      </c>
      <c r="B123" s="92"/>
      <c r="C123" s="93" t="s">
        <v>1216</v>
      </c>
      <c r="D123" s="94" t="s">
        <v>1327</v>
      </c>
      <c r="E123" s="94"/>
      <c r="F123" s="95">
        <v>4.8600000000000003</v>
      </c>
      <c r="G123" s="11" t="s">
        <v>1212</v>
      </c>
      <c r="H123" s="192" t="s">
        <v>874</v>
      </c>
      <c r="I123" s="12" t="s">
        <v>1197</v>
      </c>
    </row>
    <row r="124" spans="1:9" x14ac:dyDescent="0.3">
      <c r="A124" s="95" t="s">
        <v>1328</v>
      </c>
      <c r="B124" s="95"/>
      <c r="C124" s="192" t="s">
        <v>1323</v>
      </c>
      <c r="D124" s="95" t="s">
        <v>1329</v>
      </c>
      <c r="E124" s="95"/>
      <c r="F124" s="95">
        <v>6.72</v>
      </c>
      <c r="G124" s="11" t="s">
        <v>860</v>
      </c>
      <c r="H124" s="192" t="s">
        <v>874</v>
      </c>
      <c r="I124" s="12" t="s">
        <v>1197</v>
      </c>
    </row>
    <row r="125" spans="1:9" x14ac:dyDescent="0.3">
      <c r="A125" s="91" t="s">
        <v>1330</v>
      </c>
      <c r="B125" s="92" t="s">
        <v>1219</v>
      </c>
      <c r="C125" s="93" t="s">
        <v>1264</v>
      </c>
      <c r="D125" s="94" t="s">
        <v>1291</v>
      </c>
      <c r="E125" s="94"/>
      <c r="F125" s="95">
        <v>17.899999999999999</v>
      </c>
      <c r="G125" s="11" t="s">
        <v>1205</v>
      </c>
      <c r="H125" s="192" t="s">
        <v>871</v>
      </c>
      <c r="I125" s="12" t="s">
        <v>1206</v>
      </c>
    </row>
    <row r="126" spans="1:9" x14ac:dyDescent="0.3">
      <c r="A126" s="91" t="s">
        <v>1331</v>
      </c>
      <c r="B126" s="92" t="s">
        <v>1219</v>
      </c>
      <c r="C126" s="93" t="s">
        <v>1264</v>
      </c>
      <c r="D126" s="94" t="s">
        <v>1304</v>
      </c>
      <c r="E126" s="94"/>
      <c r="F126" s="95">
        <v>17.78</v>
      </c>
      <c r="G126" s="11" t="s">
        <v>1205</v>
      </c>
      <c r="H126" s="192" t="s">
        <v>871</v>
      </c>
      <c r="I126" s="12" t="s">
        <v>1206</v>
      </c>
    </row>
    <row r="127" spans="1:9" x14ac:dyDescent="0.3">
      <c r="A127" s="91" t="s">
        <v>1332</v>
      </c>
      <c r="B127" s="92" t="s">
        <v>1219</v>
      </c>
      <c r="C127" s="93" t="s">
        <v>1264</v>
      </c>
      <c r="D127" s="94" t="s">
        <v>1304</v>
      </c>
      <c r="E127" s="94"/>
      <c r="F127" s="95">
        <v>17.78</v>
      </c>
      <c r="G127" s="11" t="s">
        <v>1205</v>
      </c>
      <c r="H127" s="192" t="s">
        <v>871</v>
      </c>
      <c r="I127" s="12" t="s">
        <v>1206</v>
      </c>
    </row>
    <row r="128" spans="1:9" x14ac:dyDescent="0.3">
      <c r="A128" s="91" t="s">
        <v>1333</v>
      </c>
      <c r="B128" s="92" t="s">
        <v>1219</v>
      </c>
      <c r="C128" s="93" t="s">
        <v>1264</v>
      </c>
      <c r="D128" s="94" t="s">
        <v>1291</v>
      </c>
      <c r="E128" s="94"/>
      <c r="F128" s="95">
        <v>17.78</v>
      </c>
      <c r="G128" s="11" t="s">
        <v>1205</v>
      </c>
      <c r="H128" s="192" t="s">
        <v>871</v>
      </c>
      <c r="I128" s="12" t="s">
        <v>1206</v>
      </c>
    </row>
    <row r="129" spans="1:12" x14ac:dyDescent="0.3">
      <c r="A129" s="91" t="s">
        <v>1334</v>
      </c>
      <c r="B129" s="92" t="s">
        <v>1219</v>
      </c>
      <c r="C129" s="93" t="s">
        <v>1264</v>
      </c>
      <c r="D129" s="94" t="s">
        <v>1304</v>
      </c>
      <c r="E129" s="94"/>
      <c r="F129" s="95">
        <v>17.78</v>
      </c>
      <c r="G129" s="11" t="s">
        <v>1205</v>
      </c>
      <c r="H129" s="192" t="s">
        <v>871</v>
      </c>
      <c r="I129" s="12" t="s">
        <v>1206</v>
      </c>
    </row>
    <row r="130" spans="1:12" x14ac:dyDescent="0.3">
      <c r="A130" s="91" t="s">
        <v>1335</v>
      </c>
      <c r="B130" s="92" t="s">
        <v>1219</v>
      </c>
      <c r="C130" s="93" t="s">
        <v>1264</v>
      </c>
      <c r="D130" s="94" t="s">
        <v>1304</v>
      </c>
      <c r="E130" s="94"/>
      <c r="F130" s="95">
        <v>17.78</v>
      </c>
      <c r="G130" s="11" t="s">
        <v>1205</v>
      </c>
      <c r="H130" s="192" t="s">
        <v>871</v>
      </c>
      <c r="I130" s="12" t="s">
        <v>1206</v>
      </c>
    </row>
    <row r="131" spans="1:12" x14ac:dyDescent="0.3">
      <c r="A131" s="91" t="s">
        <v>1336</v>
      </c>
      <c r="B131" s="92" t="s">
        <v>1219</v>
      </c>
      <c r="C131" s="93" t="s">
        <v>1264</v>
      </c>
      <c r="D131" s="94" t="s">
        <v>1304</v>
      </c>
      <c r="E131" s="94"/>
      <c r="F131" s="95">
        <v>17.78</v>
      </c>
      <c r="G131" s="11" t="s">
        <v>1205</v>
      </c>
      <c r="H131" s="192" t="s">
        <v>871</v>
      </c>
      <c r="I131" s="12" t="s">
        <v>1206</v>
      </c>
    </row>
    <row r="132" spans="1:12" x14ac:dyDescent="0.3">
      <c r="A132" s="91" t="s">
        <v>1337</v>
      </c>
      <c r="B132" s="92" t="s">
        <v>1210</v>
      </c>
      <c r="C132" s="93" t="s">
        <v>1156</v>
      </c>
      <c r="D132" s="94" t="s">
        <v>1301</v>
      </c>
      <c r="E132" s="94"/>
      <c r="F132" s="95">
        <v>19.350000000000001</v>
      </c>
      <c r="G132" s="11" t="s">
        <v>861</v>
      </c>
      <c r="H132" s="192" t="s">
        <v>874</v>
      </c>
      <c r="I132" s="12" t="s">
        <v>1211</v>
      </c>
    </row>
    <row r="133" spans="1:12" x14ac:dyDescent="0.3">
      <c r="A133" s="91" t="s">
        <v>1338</v>
      </c>
      <c r="B133" s="92" t="s">
        <v>1182</v>
      </c>
      <c r="C133" s="93" t="s">
        <v>1156</v>
      </c>
      <c r="D133" s="94" t="s">
        <v>1339</v>
      </c>
      <c r="E133" s="94"/>
      <c r="F133" s="95">
        <v>19.5</v>
      </c>
      <c r="G133" s="11" t="s">
        <v>861</v>
      </c>
      <c r="H133" s="192" t="s">
        <v>874</v>
      </c>
      <c r="I133" s="12" t="s">
        <v>1211</v>
      </c>
    </row>
    <row r="134" spans="1:12" x14ac:dyDescent="0.3">
      <c r="A134" s="91" t="s">
        <v>1340</v>
      </c>
      <c r="B134" s="92" t="s">
        <v>1182</v>
      </c>
      <c r="C134" s="93" t="s">
        <v>1156</v>
      </c>
      <c r="D134" s="94" t="s">
        <v>1228</v>
      </c>
      <c r="E134" s="94"/>
      <c r="F134" s="95">
        <v>26.46</v>
      </c>
      <c r="G134" s="11" t="s">
        <v>861</v>
      </c>
      <c r="H134" s="192" t="s">
        <v>874</v>
      </c>
      <c r="I134" s="12" t="s">
        <v>1211</v>
      </c>
    </row>
    <row r="135" spans="1:12" x14ac:dyDescent="0.3">
      <c r="A135" s="91" t="s">
        <v>1341</v>
      </c>
      <c r="B135" s="92" t="s">
        <v>1182</v>
      </c>
      <c r="C135" s="93" t="s">
        <v>1156</v>
      </c>
      <c r="D135" s="94" t="s">
        <v>1228</v>
      </c>
      <c r="E135" s="94"/>
      <c r="F135" s="95">
        <v>21.91</v>
      </c>
      <c r="G135" s="11" t="s">
        <v>861</v>
      </c>
      <c r="H135" s="192" t="s">
        <v>874</v>
      </c>
      <c r="I135" s="12" t="s">
        <v>1211</v>
      </c>
    </row>
    <row r="136" spans="1:12" x14ac:dyDescent="0.3">
      <c r="A136" s="91" t="s">
        <v>1342</v>
      </c>
      <c r="B136" s="92"/>
      <c r="C136" s="93" t="s">
        <v>1174</v>
      </c>
      <c r="D136" s="94" t="s">
        <v>1204</v>
      </c>
      <c r="E136" s="94"/>
      <c r="F136" s="95">
        <v>12.88</v>
      </c>
      <c r="G136" s="206" t="s">
        <v>1205</v>
      </c>
      <c r="H136" s="192" t="s">
        <v>871</v>
      </c>
      <c r="I136" s="206" t="s">
        <v>1343</v>
      </c>
    </row>
    <row r="137" spans="1:12" x14ac:dyDescent="0.3">
      <c r="A137" s="91" t="s">
        <v>1344</v>
      </c>
      <c r="B137" s="92" t="s">
        <v>1219</v>
      </c>
      <c r="C137" s="93" t="s">
        <v>1156</v>
      </c>
      <c r="D137" s="94" t="s">
        <v>1345</v>
      </c>
      <c r="E137" s="94"/>
      <c r="F137" s="95">
        <v>26.24</v>
      </c>
      <c r="G137" s="11" t="s">
        <v>1205</v>
      </c>
      <c r="H137" s="192" t="s">
        <v>871</v>
      </c>
      <c r="I137" s="12" t="s">
        <v>1211</v>
      </c>
    </row>
    <row r="138" spans="1:12" x14ac:dyDescent="0.3">
      <c r="A138" s="91" t="s">
        <v>1346</v>
      </c>
      <c r="B138" s="92" t="s">
        <v>1219</v>
      </c>
      <c r="C138" s="93" t="s">
        <v>1183</v>
      </c>
      <c r="D138" s="94" t="s">
        <v>1347</v>
      </c>
      <c r="E138" s="94"/>
      <c r="F138" s="95">
        <v>19.5</v>
      </c>
      <c r="G138" s="11" t="s">
        <v>1205</v>
      </c>
      <c r="H138" s="192" t="s">
        <v>871</v>
      </c>
      <c r="I138" s="12" t="s">
        <v>1211</v>
      </c>
    </row>
    <row r="139" spans="1:12" x14ac:dyDescent="0.3">
      <c r="A139" s="91" t="s">
        <v>1348</v>
      </c>
      <c r="B139" s="92" t="s">
        <v>1219</v>
      </c>
      <c r="C139" s="93" t="s">
        <v>1183</v>
      </c>
      <c r="D139" s="94" t="s">
        <v>1349</v>
      </c>
      <c r="E139" s="94"/>
      <c r="F139" s="95">
        <v>19.350000000000001</v>
      </c>
      <c r="G139" s="11" t="s">
        <v>1205</v>
      </c>
      <c r="H139" s="192" t="s">
        <v>871</v>
      </c>
      <c r="I139" s="12" t="s">
        <v>1211</v>
      </c>
    </row>
    <row r="140" spans="1:12" ht="15.6" x14ac:dyDescent="0.3">
      <c r="A140" s="194" t="s">
        <v>1199</v>
      </c>
      <c r="B140" s="195"/>
      <c r="C140" s="195"/>
      <c r="D140" s="196"/>
      <c r="E140" s="196"/>
      <c r="F140" s="197">
        <f>SUM(F94:F139)</f>
        <v>1080.0499999999995</v>
      </c>
      <c r="G140" s="198"/>
      <c r="H140" s="199"/>
      <c r="I140" s="200"/>
    </row>
    <row r="141" spans="1:12" ht="15.6" x14ac:dyDescent="0.3">
      <c r="A141" s="186" t="s">
        <v>1350</v>
      </c>
      <c r="B141" s="186"/>
      <c r="C141" s="186"/>
      <c r="D141" s="186"/>
      <c r="E141" s="186"/>
      <c r="F141" s="186"/>
      <c r="G141" s="187"/>
      <c r="H141" s="201"/>
      <c r="I141" s="187"/>
    </row>
    <row r="142" spans="1:12" ht="31.2" x14ac:dyDescent="0.3">
      <c r="A142" s="189" t="s">
        <v>1147</v>
      </c>
      <c r="B142" s="190" t="s">
        <v>1148</v>
      </c>
      <c r="C142" s="190" t="s">
        <v>1149</v>
      </c>
      <c r="D142" s="190" t="s">
        <v>1150</v>
      </c>
      <c r="E142" s="96" t="s">
        <v>1151</v>
      </c>
      <c r="F142" s="191" t="s">
        <v>1152</v>
      </c>
      <c r="G142" s="191" t="s">
        <v>1153</v>
      </c>
      <c r="H142" s="191" t="s">
        <v>868</v>
      </c>
      <c r="I142" s="191" t="s">
        <v>1154</v>
      </c>
      <c r="K142" s="89" t="s">
        <v>68</v>
      </c>
      <c r="L142" t="s">
        <v>1159</v>
      </c>
    </row>
    <row r="143" spans="1:12" x14ac:dyDescent="0.3">
      <c r="A143" s="91" t="s">
        <v>1351</v>
      </c>
      <c r="B143" s="92"/>
      <c r="C143" s="93" t="s">
        <v>1161</v>
      </c>
      <c r="D143" s="94" t="s">
        <v>1190</v>
      </c>
      <c r="E143" s="94"/>
      <c r="F143" s="95">
        <v>276.95999999999998</v>
      </c>
      <c r="G143" s="11" t="s">
        <v>860</v>
      </c>
      <c r="H143" s="192" t="s">
        <v>874</v>
      </c>
      <c r="I143" s="12" t="s">
        <v>1197</v>
      </c>
      <c r="K143" s="90" t="s">
        <v>871</v>
      </c>
      <c r="L143">
        <v>712.4799999999999</v>
      </c>
    </row>
    <row r="144" spans="1:12" x14ac:dyDescent="0.3">
      <c r="A144" s="91" t="s">
        <v>1208</v>
      </c>
      <c r="B144" s="92"/>
      <c r="C144" s="93" t="s">
        <v>1161</v>
      </c>
      <c r="D144" s="94" t="s">
        <v>1209</v>
      </c>
      <c r="E144" s="94"/>
      <c r="F144" s="95">
        <v>17.37</v>
      </c>
      <c r="G144" s="95" t="s">
        <v>860</v>
      </c>
      <c r="H144" s="192" t="s">
        <v>874</v>
      </c>
      <c r="I144" s="12" t="s">
        <v>1197</v>
      </c>
      <c r="K144" s="99" t="s">
        <v>1205</v>
      </c>
      <c r="L144">
        <v>712.4799999999999</v>
      </c>
    </row>
    <row r="145" spans="1:12" x14ac:dyDescent="0.3">
      <c r="A145" s="91" t="s">
        <v>1352</v>
      </c>
      <c r="B145" s="92" t="s">
        <v>1210</v>
      </c>
      <c r="C145" s="93" t="s">
        <v>1264</v>
      </c>
      <c r="D145" s="94" t="s">
        <v>1304</v>
      </c>
      <c r="E145" s="94"/>
      <c r="F145" s="95">
        <v>17.78</v>
      </c>
      <c r="G145" s="95" t="s">
        <v>1205</v>
      </c>
      <c r="H145" s="192" t="s">
        <v>871</v>
      </c>
      <c r="I145" s="95" t="s">
        <v>1206</v>
      </c>
      <c r="K145" s="90" t="s">
        <v>874</v>
      </c>
      <c r="L145">
        <v>381.54</v>
      </c>
    </row>
    <row r="146" spans="1:12" x14ac:dyDescent="0.3">
      <c r="A146" s="95" t="s">
        <v>1353</v>
      </c>
      <c r="B146" s="95" t="s">
        <v>1210</v>
      </c>
      <c r="C146" s="192" t="s">
        <v>1264</v>
      </c>
      <c r="D146" s="94" t="s">
        <v>1291</v>
      </c>
      <c r="E146" s="94"/>
      <c r="F146" s="95">
        <v>36.020000000000003</v>
      </c>
      <c r="G146" s="95" t="s">
        <v>1205</v>
      </c>
      <c r="H146" s="192" t="s">
        <v>871</v>
      </c>
      <c r="I146" s="95" t="s">
        <v>1206</v>
      </c>
      <c r="K146" s="99" t="s">
        <v>860</v>
      </c>
      <c r="L146">
        <v>347.37</v>
      </c>
    </row>
    <row r="147" spans="1:12" x14ac:dyDescent="0.3">
      <c r="A147" s="91" t="s">
        <v>1354</v>
      </c>
      <c r="B147" s="92" t="s">
        <v>1210</v>
      </c>
      <c r="C147" s="93" t="s">
        <v>1264</v>
      </c>
      <c r="D147" s="94" t="s">
        <v>1291</v>
      </c>
      <c r="E147" s="94"/>
      <c r="F147" s="95">
        <v>17.78</v>
      </c>
      <c r="G147" s="95" t="s">
        <v>1205</v>
      </c>
      <c r="H147" s="192" t="s">
        <v>871</v>
      </c>
      <c r="I147" s="95" t="s">
        <v>1206</v>
      </c>
      <c r="K147" s="99" t="s">
        <v>1212</v>
      </c>
      <c r="L147">
        <v>34.17</v>
      </c>
    </row>
    <row r="148" spans="1:12" x14ac:dyDescent="0.3">
      <c r="A148" s="91" t="s">
        <v>1355</v>
      </c>
      <c r="B148" s="92" t="s">
        <v>1210</v>
      </c>
      <c r="C148" s="93" t="s">
        <v>1264</v>
      </c>
      <c r="D148" s="94" t="s">
        <v>1304</v>
      </c>
      <c r="E148" s="94"/>
      <c r="F148" s="95">
        <v>17.78</v>
      </c>
      <c r="G148" s="95" t="s">
        <v>1205</v>
      </c>
      <c r="H148" s="192" t="s">
        <v>871</v>
      </c>
      <c r="I148" s="95" t="s">
        <v>1206</v>
      </c>
      <c r="K148" s="90" t="s">
        <v>122</v>
      </c>
      <c r="L148">
        <v>1094.02</v>
      </c>
    </row>
    <row r="149" spans="1:12" x14ac:dyDescent="0.3">
      <c r="A149" s="95" t="s">
        <v>1356</v>
      </c>
      <c r="B149" s="95" t="s">
        <v>1210</v>
      </c>
      <c r="C149" s="192" t="s">
        <v>1264</v>
      </c>
      <c r="D149" s="94" t="s">
        <v>1291</v>
      </c>
      <c r="E149" s="94"/>
      <c r="F149" s="95">
        <v>36.33</v>
      </c>
      <c r="G149" s="95" t="s">
        <v>1205</v>
      </c>
      <c r="H149" s="192" t="s">
        <v>871</v>
      </c>
      <c r="I149" s="95" t="s">
        <v>1206</v>
      </c>
    </row>
    <row r="150" spans="1:12" x14ac:dyDescent="0.3">
      <c r="A150" s="91">
        <v>407</v>
      </c>
      <c r="B150" s="92" t="s">
        <v>1210</v>
      </c>
      <c r="C150" s="93" t="s">
        <v>1264</v>
      </c>
      <c r="D150" s="94" t="s">
        <v>1291</v>
      </c>
      <c r="E150" s="94"/>
      <c r="F150" s="95">
        <v>17.78</v>
      </c>
      <c r="G150" s="95" t="s">
        <v>1205</v>
      </c>
      <c r="H150" s="192" t="s">
        <v>871</v>
      </c>
      <c r="I150" s="95" t="s">
        <v>1206</v>
      </c>
    </row>
    <row r="151" spans="1:12" x14ac:dyDescent="0.3">
      <c r="A151" s="91">
        <v>408</v>
      </c>
      <c r="B151" s="92" t="s">
        <v>1210</v>
      </c>
      <c r="C151" s="93" t="s">
        <v>1264</v>
      </c>
      <c r="D151" s="94" t="s">
        <v>1304</v>
      </c>
      <c r="E151" s="94"/>
      <c r="F151" s="95">
        <v>17.78</v>
      </c>
      <c r="G151" s="95" t="s">
        <v>1205</v>
      </c>
      <c r="H151" s="192" t="s">
        <v>871</v>
      </c>
      <c r="I151" s="95" t="s">
        <v>1206</v>
      </c>
    </row>
    <row r="152" spans="1:12" x14ac:dyDescent="0.3">
      <c r="A152" s="91" t="s">
        <v>1357</v>
      </c>
      <c r="B152" s="207" t="s">
        <v>1210</v>
      </c>
      <c r="C152" s="93" t="s">
        <v>1264</v>
      </c>
      <c r="D152" s="94" t="s">
        <v>1157</v>
      </c>
      <c r="E152" s="94"/>
      <c r="F152" s="95">
        <v>12.04</v>
      </c>
      <c r="G152" s="95" t="s">
        <v>1205</v>
      </c>
      <c r="H152" s="192" t="s">
        <v>871</v>
      </c>
      <c r="I152" s="95" t="s">
        <v>1197</v>
      </c>
    </row>
    <row r="153" spans="1:12" x14ac:dyDescent="0.3">
      <c r="A153" s="91" t="s">
        <v>1358</v>
      </c>
      <c r="B153" s="92"/>
      <c r="C153" s="93" t="s">
        <v>1161</v>
      </c>
      <c r="D153" s="94" t="s">
        <v>1196</v>
      </c>
      <c r="E153" s="94"/>
      <c r="F153" s="95">
        <v>21.26</v>
      </c>
      <c r="G153" s="95" t="s">
        <v>860</v>
      </c>
      <c r="H153" s="192" t="s">
        <v>874</v>
      </c>
      <c r="I153" s="95" t="s">
        <v>1197</v>
      </c>
    </row>
    <row r="154" spans="1:12" x14ac:dyDescent="0.3">
      <c r="A154" s="208" t="s">
        <v>1359</v>
      </c>
      <c r="B154" s="95" t="s">
        <v>1182</v>
      </c>
      <c r="C154" s="192" t="s">
        <v>1264</v>
      </c>
      <c r="D154" s="95" t="s">
        <v>1360</v>
      </c>
      <c r="E154" s="95"/>
      <c r="F154" s="95">
        <v>36.46</v>
      </c>
      <c r="G154" s="206" t="s">
        <v>1205</v>
      </c>
      <c r="H154" s="192" t="s">
        <v>871</v>
      </c>
      <c r="I154" s="206" t="s">
        <v>1211</v>
      </c>
    </row>
    <row r="155" spans="1:12" x14ac:dyDescent="0.3">
      <c r="A155" s="91" t="s">
        <v>1361</v>
      </c>
      <c r="B155" s="92" t="s">
        <v>1182</v>
      </c>
      <c r="C155" s="93" t="s">
        <v>1264</v>
      </c>
      <c r="D155" s="94" t="s">
        <v>1362</v>
      </c>
      <c r="E155" s="94"/>
      <c r="F155" s="95">
        <v>17.78</v>
      </c>
      <c r="G155" s="95" t="s">
        <v>1205</v>
      </c>
      <c r="H155" s="192" t="s">
        <v>871</v>
      </c>
      <c r="I155" s="206" t="s">
        <v>1211</v>
      </c>
    </row>
    <row r="156" spans="1:12" x14ac:dyDescent="0.3">
      <c r="A156" s="91" t="s">
        <v>1363</v>
      </c>
      <c r="B156" s="207" t="s">
        <v>1182</v>
      </c>
      <c r="C156" s="93" t="s">
        <v>1264</v>
      </c>
      <c r="D156" s="94" t="s">
        <v>1304</v>
      </c>
      <c r="E156" s="94"/>
      <c r="F156" s="95">
        <v>17.78</v>
      </c>
      <c r="G156" s="95" t="s">
        <v>1205</v>
      </c>
      <c r="H156" s="192" t="s">
        <v>871</v>
      </c>
      <c r="I156" s="206" t="s">
        <v>1211</v>
      </c>
    </row>
    <row r="157" spans="1:12" x14ac:dyDescent="0.3">
      <c r="A157" s="91" t="s">
        <v>1364</v>
      </c>
      <c r="B157" s="207" t="s">
        <v>1182</v>
      </c>
      <c r="C157" s="93" t="s">
        <v>1264</v>
      </c>
      <c r="D157" s="94" t="s">
        <v>1304</v>
      </c>
      <c r="E157" s="94"/>
      <c r="F157" s="95">
        <v>17.78</v>
      </c>
      <c r="G157" s="95" t="s">
        <v>1205</v>
      </c>
      <c r="H157" s="192" t="s">
        <v>871</v>
      </c>
      <c r="I157" s="206" t="s">
        <v>1211</v>
      </c>
    </row>
    <row r="158" spans="1:12" x14ac:dyDescent="0.3">
      <c r="A158" s="91" t="s">
        <v>1365</v>
      </c>
      <c r="B158" s="207" t="s">
        <v>1182</v>
      </c>
      <c r="C158" s="93" t="s">
        <v>1264</v>
      </c>
      <c r="D158" s="94" t="s">
        <v>1304</v>
      </c>
      <c r="E158" s="94"/>
      <c r="F158" s="95">
        <v>17.78</v>
      </c>
      <c r="G158" s="95" t="s">
        <v>1205</v>
      </c>
      <c r="H158" s="192" t="s">
        <v>871</v>
      </c>
      <c r="I158" s="206" t="s">
        <v>1211</v>
      </c>
    </row>
    <row r="159" spans="1:12" x14ac:dyDescent="0.3">
      <c r="A159" s="91" t="s">
        <v>1366</v>
      </c>
      <c r="B159" s="207" t="s">
        <v>1182</v>
      </c>
      <c r="C159" s="93" t="s">
        <v>1264</v>
      </c>
      <c r="D159" s="94" t="s">
        <v>1291</v>
      </c>
      <c r="E159" s="94"/>
      <c r="F159" s="95">
        <v>17.78</v>
      </c>
      <c r="G159" s="95" t="s">
        <v>1205</v>
      </c>
      <c r="H159" s="192" t="s">
        <v>871</v>
      </c>
      <c r="I159" s="206" t="s">
        <v>1211</v>
      </c>
    </row>
    <row r="160" spans="1:12" x14ac:dyDescent="0.3">
      <c r="A160" s="91" t="s">
        <v>1367</v>
      </c>
      <c r="B160" s="207" t="s">
        <v>1182</v>
      </c>
      <c r="C160" s="93" t="s">
        <v>1264</v>
      </c>
      <c r="D160" s="94" t="s">
        <v>1304</v>
      </c>
      <c r="E160" s="94"/>
      <c r="F160" s="95">
        <v>15.68</v>
      </c>
      <c r="G160" s="95" t="s">
        <v>1205</v>
      </c>
      <c r="H160" s="192" t="s">
        <v>871</v>
      </c>
      <c r="I160" s="206" t="s">
        <v>1211</v>
      </c>
    </row>
    <row r="161" spans="1:9" x14ac:dyDescent="0.3">
      <c r="A161" s="91" t="s">
        <v>1368</v>
      </c>
      <c r="B161" s="92"/>
      <c r="C161" s="93" t="s">
        <v>1216</v>
      </c>
      <c r="D161" s="94" t="s">
        <v>1259</v>
      </c>
      <c r="E161" s="94"/>
      <c r="F161" s="95">
        <v>13.68</v>
      </c>
      <c r="G161" s="95" t="s">
        <v>1212</v>
      </c>
      <c r="H161" s="192" t="s">
        <v>874</v>
      </c>
      <c r="I161" s="95" t="s">
        <v>1197</v>
      </c>
    </row>
    <row r="162" spans="1:9" x14ac:dyDescent="0.3">
      <c r="A162" s="91" t="s">
        <v>1369</v>
      </c>
      <c r="B162" s="92"/>
      <c r="C162" s="93" t="s">
        <v>1216</v>
      </c>
      <c r="D162" s="94" t="s">
        <v>1225</v>
      </c>
      <c r="E162" s="94"/>
      <c r="F162" s="95">
        <v>1.7</v>
      </c>
      <c r="G162" s="95" t="s">
        <v>1212</v>
      </c>
      <c r="H162" s="192" t="s">
        <v>874</v>
      </c>
      <c r="I162" s="95" t="s">
        <v>1197</v>
      </c>
    </row>
    <row r="163" spans="1:9" x14ac:dyDescent="0.3">
      <c r="A163" s="91" t="s">
        <v>1370</v>
      </c>
      <c r="B163" s="92"/>
      <c r="C163" s="93" t="s">
        <v>1216</v>
      </c>
      <c r="D163" s="94" t="s">
        <v>1262</v>
      </c>
      <c r="E163" s="94"/>
      <c r="F163" s="95">
        <v>13.93</v>
      </c>
      <c r="G163" s="95" t="s">
        <v>1212</v>
      </c>
      <c r="H163" s="192" t="s">
        <v>874</v>
      </c>
      <c r="I163" s="95" t="s">
        <v>1197</v>
      </c>
    </row>
    <row r="164" spans="1:9" x14ac:dyDescent="0.3">
      <c r="A164" s="91" t="s">
        <v>1171</v>
      </c>
      <c r="B164" s="92"/>
      <c r="C164" s="93" t="s">
        <v>1161</v>
      </c>
      <c r="D164" s="94" t="s">
        <v>1172</v>
      </c>
      <c r="E164" s="94" t="s">
        <v>890</v>
      </c>
      <c r="F164" s="95">
        <v>3.8</v>
      </c>
      <c r="G164" s="95" t="s">
        <v>860</v>
      </c>
      <c r="H164" s="192" t="s">
        <v>874</v>
      </c>
      <c r="I164" s="95" t="s">
        <v>1170</v>
      </c>
    </row>
    <row r="165" spans="1:9" x14ac:dyDescent="0.3">
      <c r="A165" s="95" t="s">
        <v>1371</v>
      </c>
      <c r="B165" s="95" t="s">
        <v>1182</v>
      </c>
      <c r="C165" s="192" t="s">
        <v>1264</v>
      </c>
      <c r="D165" s="95" t="s">
        <v>1372</v>
      </c>
      <c r="E165" s="95"/>
      <c r="F165" s="95">
        <v>16.899999999999999</v>
      </c>
      <c r="G165" s="95" t="s">
        <v>1205</v>
      </c>
      <c r="H165" s="192" t="s">
        <v>871</v>
      </c>
      <c r="I165" s="95" t="s">
        <v>1211</v>
      </c>
    </row>
    <row r="166" spans="1:9" x14ac:dyDescent="0.3">
      <c r="A166" s="95" t="s">
        <v>1373</v>
      </c>
      <c r="B166" s="95" t="s">
        <v>1182</v>
      </c>
      <c r="C166" s="192" t="s">
        <v>1264</v>
      </c>
      <c r="D166" s="95" t="s">
        <v>1372</v>
      </c>
      <c r="E166" s="95"/>
      <c r="F166" s="95">
        <v>17.78</v>
      </c>
      <c r="G166" s="95" t="s">
        <v>1205</v>
      </c>
      <c r="H166" s="192" t="s">
        <v>871</v>
      </c>
      <c r="I166" s="95" t="s">
        <v>1211</v>
      </c>
    </row>
    <row r="167" spans="1:9" x14ac:dyDescent="0.3">
      <c r="A167" s="95" t="s">
        <v>1374</v>
      </c>
      <c r="B167" s="95" t="s">
        <v>1182</v>
      </c>
      <c r="C167" s="192" t="s">
        <v>1264</v>
      </c>
      <c r="D167" s="95" t="s">
        <v>1372</v>
      </c>
      <c r="E167" s="95"/>
      <c r="F167" s="95">
        <v>17.78</v>
      </c>
      <c r="G167" s="95" t="s">
        <v>1205</v>
      </c>
      <c r="H167" s="192" t="s">
        <v>871</v>
      </c>
      <c r="I167" s="95" t="s">
        <v>1211</v>
      </c>
    </row>
    <row r="168" spans="1:9" x14ac:dyDescent="0.3">
      <c r="A168" s="95" t="s">
        <v>1375</v>
      </c>
      <c r="B168" s="95" t="s">
        <v>1182</v>
      </c>
      <c r="C168" s="192" t="s">
        <v>1264</v>
      </c>
      <c r="D168" s="95" t="s">
        <v>1372</v>
      </c>
      <c r="E168" s="95"/>
      <c r="F168" s="95">
        <v>17.78</v>
      </c>
      <c r="G168" s="95" t="s">
        <v>1205</v>
      </c>
      <c r="H168" s="192" t="s">
        <v>871</v>
      </c>
      <c r="I168" s="95" t="s">
        <v>1211</v>
      </c>
    </row>
    <row r="169" spans="1:9" x14ac:dyDescent="0.3">
      <c r="A169" s="95" t="s">
        <v>1376</v>
      </c>
      <c r="B169" s="95" t="s">
        <v>1182</v>
      </c>
      <c r="C169" s="192" t="s">
        <v>1264</v>
      </c>
      <c r="D169" s="95" t="s">
        <v>1372</v>
      </c>
      <c r="E169" s="95"/>
      <c r="F169" s="95">
        <v>17.78</v>
      </c>
      <c r="G169" s="95" t="s">
        <v>1205</v>
      </c>
      <c r="H169" s="192" t="s">
        <v>871</v>
      </c>
      <c r="I169" s="95" t="s">
        <v>1211</v>
      </c>
    </row>
    <row r="170" spans="1:9" x14ac:dyDescent="0.3">
      <c r="A170" s="95" t="s">
        <v>1377</v>
      </c>
      <c r="B170" s="95" t="s">
        <v>1182</v>
      </c>
      <c r="C170" s="192" t="s">
        <v>1264</v>
      </c>
      <c r="D170" s="95" t="s">
        <v>1372</v>
      </c>
      <c r="E170" s="95"/>
      <c r="F170" s="95">
        <v>17.899999999999999</v>
      </c>
      <c r="G170" s="95" t="s">
        <v>1205</v>
      </c>
      <c r="H170" s="192" t="s">
        <v>871</v>
      </c>
      <c r="I170" s="95" t="s">
        <v>1211</v>
      </c>
    </row>
    <row r="171" spans="1:9" x14ac:dyDescent="0.3">
      <c r="A171" s="91" t="s">
        <v>1378</v>
      </c>
      <c r="B171" s="92"/>
      <c r="C171" s="93" t="s">
        <v>1161</v>
      </c>
      <c r="D171" s="94" t="s">
        <v>1196</v>
      </c>
      <c r="E171" s="94"/>
      <c r="F171" s="95">
        <v>21.26</v>
      </c>
      <c r="G171" s="95" t="s">
        <v>860</v>
      </c>
      <c r="H171" s="192" t="s">
        <v>874</v>
      </c>
      <c r="I171" s="95" t="s">
        <v>1197</v>
      </c>
    </row>
    <row r="172" spans="1:9" x14ac:dyDescent="0.3">
      <c r="A172" s="91" t="s">
        <v>1379</v>
      </c>
      <c r="B172" s="92"/>
      <c r="C172" s="93" t="s">
        <v>1216</v>
      </c>
      <c r="D172" s="94" t="s">
        <v>1327</v>
      </c>
      <c r="E172" s="94"/>
      <c r="F172" s="95">
        <v>4.8600000000000003</v>
      </c>
      <c r="G172" s="95" t="s">
        <v>1212</v>
      </c>
      <c r="H172" s="192" t="s">
        <v>874</v>
      </c>
      <c r="I172" s="95" t="s">
        <v>1197</v>
      </c>
    </row>
    <row r="173" spans="1:9" x14ac:dyDescent="0.3">
      <c r="A173" s="95" t="s">
        <v>1380</v>
      </c>
      <c r="B173" s="95"/>
      <c r="C173" s="192" t="s">
        <v>1323</v>
      </c>
      <c r="D173" s="95" t="s">
        <v>1329</v>
      </c>
      <c r="E173" s="95"/>
      <c r="F173" s="95">
        <v>6.72</v>
      </c>
      <c r="G173" s="11" t="s">
        <v>860</v>
      </c>
      <c r="H173" s="192" t="s">
        <v>874</v>
      </c>
      <c r="I173" s="95" t="s">
        <v>1197</v>
      </c>
    </row>
    <row r="174" spans="1:9" x14ac:dyDescent="0.3">
      <c r="A174" s="95" t="s">
        <v>1381</v>
      </c>
      <c r="B174" s="95" t="s">
        <v>1210</v>
      </c>
      <c r="C174" s="192" t="s">
        <v>1264</v>
      </c>
      <c r="D174" s="95" t="s">
        <v>1360</v>
      </c>
      <c r="E174" s="95"/>
      <c r="F174" s="95">
        <v>36.46</v>
      </c>
      <c r="G174" s="206" t="s">
        <v>1205</v>
      </c>
      <c r="H174" s="192" t="s">
        <v>871</v>
      </c>
      <c r="I174" s="206" t="s">
        <v>1206</v>
      </c>
    </row>
    <row r="175" spans="1:9" x14ac:dyDescent="0.3">
      <c r="A175" s="91" t="s">
        <v>894</v>
      </c>
      <c r="B175" s="92" t="s">
        <v>1210</v>
      </c>
      <c r="C175" s="93" t="s">
        <v>1264</v>
      </c>
      <c r="D175" s="94" t="s">
        <v>1382</v>
      </c>
      <c r="E175" s="94"/>
      <c r="F175" s="95">
        <v>17.78</v>
      </c>
      <c r="G175" s="11" t="s">
        <v>1205</v>
      </c>
      <c r="H175" s="192" t="s">
        <v>871</v>
      </c>
      <c r="I175" s="206" t="s">
        <v>1206</v>
      </c>
    </row>
    <row r="176" spans="1:9" x14ac:dyDescent="0.3">
      <c r="A176" s="91" t="s">
        <v>1383</v>
      </c>
      <c r="B176" s="92" t="s">
        <v>1210</v>
      </c>
      <c r="C176" s="93" t="s">
        <v>1264</v>
      </c>
      <c r="D176" s="94" t="s">
        <v>1384</v>
      </c>
      <c r="E176" s="94"/>
      <c r="F176" s="95">
        <v>17.78</v>
      </c>
      <c r="G176" s="11" t="s">
        <v>1205</v>
      </c>
      <c r="H176" s="192" t="s">
        <v>871</v>
      </c>
      <c r="I176" s="206" t="s">
        <v>1206</v>
      </c>
    </row>
    <row r="177" spans="1:12" x14ac:dyDescent="0.3">
      <c r="A177" s="95" t="s">
        <v>1385</v>
      </c>
      <c r="B177" s="95" t="s">
        <v>1210</v>
      </c>
      <c r="C177" s="192" t="s">
        <v>1264</v>
      </c>
      <c r="D177" s="94" t="s">
        <v>1291</v>
      </c>
      <c r="E177" s="94"/>
      <c r="F177" s="95">
        <v>36.33</v>
      </c>
      <c r="G177" s="11" t="s">
        <v>1205</v>
      </c>
      <c r="H177" s="192" t="s">
        <v>871</v>
      </c>
      <c r="I177" s="206" t="s">
        <v>1206</v>
      </c>
    </row>
    <row r="178" spans="1:12" x14ac:dyDescent="0.3">
      <c r="A178" s="91" t="s">
        <v>1386</v>
      </c>
      <c r="B178" s="207" t="s">
        <v>1210</v>
      </c>
      <c r="C178" s="93" t="s">
        <v>1264</v>
      </c>
      <c r="D178" s="95" t="s">
        <v>1372</v>
      </c>
      <c r="E178" s="95"/>
      <c r="F178" s="95">
        <v>17.78</v>
      </c>
      <c r="G178" s="11" t="s">
        <v>1205</v>
      </c>
      <c r="H178" s="192" t="s">
        <v>871</v>
      </c>
      <c r="I178" s="206" t="s">
        <v>1206</v>
      </c>
    </row>
    <row r="179" spans="1:12" x14ac:dyDescent="0.3">
      <c r="A179" s="91" t="s">
        <v>1387</v>
      </c>
      <c r="B179" s="207" t="s">
        <v>1182</v>
      </c>
      <c r="C179" s="93" t="s">
        <v>1264</v>
      </c>
      <c r="D179" s="94" t="s">
        <v>1388</v>
      </c>
      <c r="E179" s="94"/>
      <c r="F179" s="95">
        <v>18.399999999999999</v>
      </c>
      <c r="G179" s="11" t="s">
        <v>1205</v>
      </c>
      <c r="H179" s="192" t="s">
        <v>871</v>
      </c>
      <c r="I179" s="12" t="s">
        <v>1211</v>
      </c>
    </row>
    <row r="180" spans="1:12" x14ac:dyDescent="0.3">
      <c r="A180" s="91" t="s">
        <v>1389</v>
      </c>
      <c r="B180" s="207" t="s">
        <v>1182</v>
      </c>
      <c r="C180" s="93" t="s">
        <v>1264</v>
      </c>
      <c r="D180" s="94" t="s">
        <v>1388</v>
      </c>
      <c r="E180" s="94"/>
      <c r="F180" s="95">
        <v>18.899999999999999</v>
      </c>
      <c r="G180" s="11" t="s">
        <v>1205</v>
      </c>
      <c r="H180" s="192" t="s">
        <v>871</v>
      </c>
      <c r="I180" s="12" t="s">
        <v>1211</v>
      </c>
    </row>
    <row r="181" spans="1:12" x14ac:dyDescent="0.3">
      <c r="A181" s="91" t="s">
        <v>1390</v>
      </c>
      <c r="B181" s="207" t="s">
        <v>1182</v>
      </c>
      <c r="C181" s="93" t="s">
        <v>1264</v>
      </c>
      <c r="D181" s="94" t="s">
        <v>1388</v>
      </c>
      <c r="E181" s="94"/>
      <c r="F181" s="95">
        <v>18.149999999999999</v>
      </c>
      <c r="G181" s="11" t="s">
        <v>1205</v>
      </c>
      <c r="H181" s="192" t="s">
        <v>871</v>
      </c>
      <c r="I181" s="12" t="s">
        <v>1211</v>
      </c>
    </row>
    <row r="182" spans="1:12" x14ac:dyDescent="0.3">
      <c r="A182" s="91" t="s">
        <v>1391</v>
      </c>
      <c r="B182" s="207" t="s">
        <v>1182</v>
      </c>
      <c r="C182" s="93" t="s">
        <v>1264</v>
      </c>
      <c r="D182" s="94" t="s">
        <v>1388</v>
      </c>
      <c r="E182" s="94"/>
      <c r="F182" s="95">
        <v>18.5</v>
      </c>
      <c r="G182" s="11" t="s">
        <v>1205</v>
      </c>
      <c r="H182" s="192" t="s">
        <v>871</v>
      </c>
      <c r="I182" s="12" t="s">
        <v>1211</v>
      </c>
    </row>
    <row r="183" spans="1:12" x14ac:dyDescent="0.3">
      <c r="A183" s="91" t="s">
        <v>1392</v>
      </c>
      <c r="B183" s="207" t="s">
        <v>1210</v>
      </c>
      <c r="C183" s="93" t="s">
        <v>1264</v>
      </c>
      <c r="D183" s="94" t="s">
        <v>1388</v>
      </c>
      <c r="E183" s="94"/>
      <c r="F183" s="95">
        <v>13.69</v>
      </c>
      <c r="G183" s="11" t="s">
        <v>1205</v>
      </c>
      <c r="H183" s="192" t="s">
        <v>871</v>
      </c>
      <c r="I183" s="12" t="s">
        <v>1206</v>
      </c>
    </row>
    <row r="184" spans="1:12" x14ac:dyDescent="0.3">
      <c r="A184" s="91" t="s">
        <v>1393</v>
      </c>
      <c r="B184" s="207" t="s">
        <v>1210</v>
      </c>
      <c r="C184" s="93" t="s">
        <v>1264</v>
      </c>
      <c r="D184" s="94" t="s">
        <v>1388</v>
      </c>
      <c r="E184" s="94"/>
      <c r="F184" s="95">
        <v>11.96</v>
      </c>
      <c r="G184" s="11" t="s">
        <v>1205</v>
      </c>
      <c r="H184" s="192" t="s">
        <v>871</v>
      </c>
      <c r="I184" s="12" t="s">
        <v>1206</v>
      </c>
    </row>
    <row r="185" spans="1:12" x14ac:dyDescent="0.3">
      <c r="A185" s="91" t="s">
        <v>1394</v>
      </c>
      <c r="B185" s="207" t="s">
        <v>1210</v>
      </c>
      <c r="C185" s="93" t="s">
        <v>1264</v>
      </c>
      <c r="D185" s="95" t="s">
        <v>1372</v>
      </c>
      <c r="E185" s="95"/>
      <c r="F185" s="95">
        <v>16.739999999999998</v>
      </c>
      <c r="G185" s="11" t="s">
        <v>1205</v>
      </c>
      <c r="H185" s="192" t="s">
        <v>871</v>
      </c>
      <c r="I185" s="12" t="s">
        <v>1206</v>
      </c>
    </row>
    <row r="186" spans="1:12" x14ac:dyDescent="0.3">
      <c r="A186" s="95" t="s">
        <v>1395</v>
      </c>
      <c r="B186" s="95" t="s">
        <v>1396</v>
      </c>
      <c r="C186" s="192" t="s">
        <v>1323</v>
      </c>
      <c r="D186" s="95" t="s">
        <v>1397</v>
      </c>
      <c r="E186" s="95"/>
      <c r="F186" s="95">
        <v>49.76</v>
      </c>
      <c r="G186" s="11" t="s">
        <v>1205</v>
      </c>
      <c r="H186" s="192" t="s">
        <v>871</v>
      </c>
      <c r="I186" s="12" t="s">
        <v>1206</v>
      </c>
    </row>
    <row r="187" spans="1:12" ht="15.6" x14ac:dyDescent="0.3">
      <c r="A187" s="194" t="s">
        <v>1398</v>
      </c>
      <c r="B187" s="195"/>
      <c r="C187" s="195"/>
      <c r="D187" s="196"/>
      <c r="E187" s="196"/>
      <c r="F187" s="197">
        <f>SUM(F143:F186)</f>
        <v>1094.0199999999995</v>
      </c>
      <c r="G187" s="197"/>
      <c r="H187" s="199"/>
      <c r="I187" s="197"/>
    </row>
    <row r="188" spans="1:12" ht="15.6" x14ac:dyDescent="0.3">
      <c r="A188" s="209" t="s">
        <v>1399</v>
      </c>
      <c r="B188" s="210"/>
      <c r="C188" s="210"/>
      <c r="D188" s="211"/>
      <c r="E188" s="211"/>
      <c r="F188" s="197">
        <f>SUM(F22+F54+F91+F140+F187)</f>
        <v>5275.0299999999988</v>
      </c>
      <c r="G188" s="197"/>
      <c r="H188" s="199"/>
      <c r="I188" s="197"/>
    </row>
    <row r="189" spans="1:12" x14ac:dyDescent="0.3">
      <c r="A189" s="212"/>
      <c r="B189" s="157"/>
      <c r="C189" s="213"/>
      <c r="D189" s="214"/>
      <c r="E189" s="214"/>
      <c r="F189" s="206"/>
      <c r="G189" s="206"/>
      <c r="H189" s="215"/>
      <c r="I189" s="206"/>
    </row>
    <row r="190" spans="1:12" x14ac:dyDescent="0.3">
      <c r="A190" s="216" t="s">
        <v>1212</v>
      </c>
      <c r="B190" s="217" t="s">
        <v>1400</v>
      </c>
      <c r="C190" s="218"/>
      <c r="D190" s="219"/>
      <c r="E190" s="219"/>
      <c r="F190" s="220">
        <f>SUMIFS(F25:F53,G25:G53,G41)</f>
        <v>65.760000000000005</v>
      </c>
      <c r="G190" s="220" t="s">
        <v>1401</v>
      </c>
      <c r="H190" s="221"/>
      <c r="I190" s="220"/>
      <c r="J190" s="217"/>
      <c r="K190" s="217"/>
      <c r="L190" s="217"/>
    </row>
  </sheetData>
  <pageMargins left="0.7" right="0.7" top="0.78740157499999996" bottom="0.78740157499999996" header="0.3" footer="0.3"/>
  <pageSetup paperSize="9" scale="61" fitToHeight="0" orientation="landscape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80"/>
  <sheetViews>
    <sheetView workbookViewId="0">
      <selection activeCell="N41" sqref="N41"/>
    </sheetView>
  </sheetViews>
  <sheetFormatPr defaultRowHeight="14.4" x14ac:dyDescent="0.3"/>
  <cols>
    <col min="2" max="2" width="27" customWidth="1"/>
    <col min="3" max="3" width="22.21875" customWidth="1"/>
    <col min="5" max="5" width="13" customWidth="1"/>
    <col min="7" max="7" width="13.21875" customWidth="1"/>
    <col min="9" max="9" width="29.77734375" customWidth="1"/>
    <col min="10" max="10" width="19.44140625" bestFit="1" customWidth="1"/>
  </cols>
  <sheetData>
    <row r="1" spans="1:10" ht="15" thickBot="1" x14ac:dyDescent="0.35">
      <c r="A1" s="13" t="s">
        <v>1200</v>
      </c>
      <c r="B1" s="14"/>
      <c r="C1" s="14"/>
      <c r="D1" s="14"/>
      <c r="E1" s="14"/>
      <c r="F1" s="14"/>
      <c r="G1" s="5"/>
    </row>
    <row r="2" spans="1:10" ht="26.4" x14ac:dyDescent="0.3">
      <c r="A2" s="15" t="s">
        <v>70</v>
      </c>
      <c r="B2" s="16" t="s">
        <v>1402</v>
      </c>
      <c r="C2" s="16" t="s">
        <v>1403</v>
      </c>
      <c r="D2" s="17" t="s">
        <v>73</v>
      </c>
      <c r="E2" s="18" t="s">
        <v>866</v>
      </c>
      <c r="F2" s="18" t="s">
        <v>867</v>
      </c>
      <c r="G2" s="18" t="s">
        <v>868</v>
      </c>
    </row>
    <row r="3" spans="1:10" x14ac:dyDescent="0.3">
      <c r="A3" s="19">
        <v>1</v>
      </c>
      <c r="B3" s="20" t="s">
        <v>1404</v>
      </c>
      <c r="C3" s="20" t="s">
        <v>1190</v>
      </c>
      <c r="D3" s="21">
        <v>91.69</v>
      </c>
      <c r="E3" s="3" t="s">
        <v>1405</v>
      </c>
      <c r="F3" s="22"/>
      <c r="G3" s="3" t="s">
        <v>874</v>
      </c>
      <c r="I3" s="89" t="s">
        <v>68</v>
      </c>
      <c r="J3" t="s">
        <v>69</v>
      </c>
    </row>
    <row r="4" spans="1:10" x14ac:dyDescent="0.3">
      <c r="A4" s="19">
        <v>2</v>
      </c>
      <c r="B4" s="20" t="s">
        <v>1404</v>
      </c>
      <c r="C4" s="20" t="s">
        <v>1190</v>
      </c>
      <c r="D4" s="22">
        <v>7.27</v>
      </c>
      <c r="E4" s="3" t="s">
        <v>1406</v>
      </c>
      <c r="F4" s="22"/>
      <c r="G4" s="3" t="s">
        <v>874</v>
      </c>
      <c r="I4" s="90" t="s">
        <v>875</v>
      </c>
      <c r="J4">
        <v>111.49000000000001</v>
      </c>
    </row>
    <row r="5" spans="1:10" x14ac:dyDescent="0.3">
      <c r="A5" s="19">
        <v>3</v>
      </c>
      <c r="B5" s="20" t="s">
        <v>1404</v>
      </c>
      <c r="C5" s="20" t="s">
        <v>1190</v>
      </c>
      <c r="D5" s="22">
        <v>10.88</v>
      </c>
      <c r="E5" s="3" t="s">
        <v>1406</v>
      </c>
      <c r="F5" s="22"/>
      <c r="G5" s="3" t="s">
        <v>874</v>
      </c>
      <c r="I5" s="99" t="s">
        <v>1407</v>
      </c>
      <c r="J5">
        <v>111.49000000000001</v>
      </c>
    </row>
    <row r="6" spans="1:10" x14ac:dyDescent="0.3">
      <c r="A6" s="19">
        <v>4</v>
      </c>
      <c r="B6" s="20" t="s">
        <v>1404</v>
      </c>
      <c r="C6" s="20" t="s">
        <v>1190</v>
      </c>
      <c r="D6" s="22">
        <v>58.77</v>
      </c>
      <c r="E6" s="3" t="s">
        <v>1406</v>
      </c>
      <c r="F6" s="22"/>
      <c r="G6" s="3" t="s">
        <v>874</v>
      </c>
      <c r="I6" s="90" t="s">
        <v>871</v>
      </c>
      <c r="J6">
        <v>110</v>
      </c>
    </row>
    <row r="7" spans="1:10" x14ac:dyDescent="0.3">
      <c r="A7" s="19">
        <v>5</v>
      </c>
      <c r="B7" s="20" t="s">
        <v>1404</v>
      </c>
      <c r="C7" s="20" t="s">
        <v>1190</v>
      </c>
      <c r="D7" s="22">
        <v>8.89</v>
      </c>
      <c r="E7" s="3" t="s">
        <v>1406</v>
      </c>
      <c r="F7" s="22"/>
      <c r="G7" s="3" t="s">
        <v>874</v>
      </c>
      <c r="I7" s="99" t="s">
        <v>1408</v>
      </c>
      <c r="J7">
        <v>110</v>
      </c>
    </row>
    <row r="8" spans="1:10" x14ac:dyDescent="0.3">
      <c r="A8" s="19">
        <v>6</v>
      </c>
      <c r="B8" s="20" t="s">
        <v>1404</v>
      </c>
      <c r="C8" s="20" t="s">
        <v>1409</v>
      </c>
      <c r="D8" s="22">
        <v>2.96</v>
      </c>
      <c r="E8" s="3" t="s">
        <v>1410</v>
      </c>
      <c r="F8" s="22"/>
      <c r="G8" s="3" t="s">
        <v>874</v>
      </c>
      <c r="I8" s="90" t="s">
        <v>874</v>
      </c>
      <c r="J8">
        <v>590.47</v>
      </c>
    </row>
    <row r="9" spans="1:10" x14ac:dyDescent="0.3">
      <c r="A9" s="19">
        <v>7</v>
      </c>
      <c r="B9" s="20" t="s">
        <v>1404</v>
      </c>
      <c r="C9" s="20" t="s">
        <v>1196</v>
      </c>
      <c r="D9" s="22">
        <v>9.7799999999999994</v>
      </c>
      <c r="E9" s="3" t="s">
        <v>1406</v>
      </c>
      <c r="F9" s="22"/>
      <c r="G9" s="3" t="s">
        <v>874</v>
      </c>
      <c r="I9" s="99" t="s">
        <v>1404</v>
      </c>
      <c r="J9">
        <v>190.24</v>
      </c>
    </row>
    <row r="10" spans="1:10" x14ac:dyDescent="0.3">
      <c r="A10" s="19">
        <v>8</v>
      </c>
      <c r="B10" s="20" t="s">
        <v>881</v>
      </c>
      <c r="C10" s="20" t="s">
        <v>881</v>
      </c>
      <c r="D10" s="22">
        <v>100.79</v>
      </c>
      <c r="E10" s="3" t="s">
        <v>1405</v>
      </c>
      <c r="F10" s="22"/>
      <c r="G10" s="3" t="s">
        <v>874</v>
      </c>
      <c r="I10" s="99" t="s">
        <v>1407</v>
      </c>
      <c r="J10">
        <v>252.23999999999998</v>
      </c>
    </row>
    <row r="11" spans="1:10" x14ac:dyDescent="0.3">
      <c r="A11" s="19">
        <v>9</v>
      </c>
      <c r="B11" s="20" t="s">
        <v>1407</v>
      </c>
      <c r="C11" s="20" t="s">
        <v>62</v>
      </c>
      <c r="D11" s="22">
        <v>39.93</v>
      </c>
      <c r="E11" s="3" t="s">
        <v>1405</v>
      </c>
      <c r="F11" s="22"/>
      <c r="G11" s="3" t="s">
        <v>874</v>
      </c>
      <c r="I11" s="99" t="s">
        <v>859</v>
      </c>
      <c r="J11">
        <v>47.199999999999996</v>
      </c>
    </row>
    <row r="12" spans="1:10" x14ac:dyDescent="0.3">
      <c r="A12" s="19">
        <v>10</v>
      </c>
      <c r="B12" s="20" t="s">
        <v>1407</v>
      </c>
      <c r="C12" s="20" t="s">
        <v>62</v>
      </c>
      <c r="D12" s="22">
        <v>20.28</v>
      </c>
      <c r="E12" s="3" t="s">
        <v>1405</v>
      </c>
      <c r="F12" s="22"/>
      <c r="G12" s="3" t="s">
        <v>874</v>
      </c>
      <c r="I12" s="99" t="s">
        <v>881</v>
      </c>
      <c r="J12">
        <v>100.79</v>
      </c>
    </row>
    <row r="13" spans="1:10" x14ac:dyDescent="0.3">
      <c r="A13" s="19">
        <v>11</v>
      </c>
      <c r="B13" s="20" t="s">
        <v>1407</v>
      </c>
      <c r="C13" s="20" t="s">
        <v>62</v>
      </c>
      <c r="D13" s="22">
        <v>62.18</v>
      </c>
      <c r="E13" s="3" t="s">
        <v>1405</v>
      </c>
      <c r="F13" s="22"/>
      <c r="G13" s="3" t="s">
        <v>874</v>
      </c>
      <c r="I13" s="90" t="s">
        <v>122</v>
      </c>
      <c r="J13">
        <v>811.96</v>
      </c>
    </row>
    <row r="14" spans="1:10" x14ac:dyDescent="0.3">
      <c r="A14" s="19">
        <v>12</v>
      </c>
      <c r="B14" s="20" t="s">
        <v>1407</v>
      </c>
      <c r="C14" s="20" t="s">
        <v>62</v>
      </c>
      <c r="D14" s="22">
        <v>39.94</v>
      </c>
      <c r="E14" s="3" t="s">
        <v>1405</v>
      </c>
      <c r="F14" s="22"/>
      <c r="G14" s="3" t="s">
        <v>874</v>
      </c>
    </row>
    <row r="15" spans="1:10" x14ac:dyDescent="0.3">
      <c r="A15" s="19">
        <v>13</v>
      </c>
      <c r="B15" s="20" t="s">
        <v>1407</v>
      </c>
      <c r="C15" s="20" t="s">
        <v>62</v>
      </c>
      <c r="D15" s="22">
        <v>47.22</v>
      </c>
      <c r="E15" s="3" t="s">
        <v>1405</v>
      </c>
      <c r="F15" s="22"/>
      <c r="G15" s="3" t="s">
        <v>874</v>
      </c>
    </row>
    <row r="16" spans="1:10" x14ac:dyDescent="0.3">
      <c r="A16" s="19">
        <v>14</v>
      </c>
      <c r="B16" s="20" t="s">
        <v>1407</v>
      </c>
      <c r="C16" s="20" t="s">
        <v>62</v>
      </c>
      <c r="D16" s="22">
        <v>10.93</v>
      </c>
      <c r="E16" s="3" t="s">
        <v>1406</v>
      </c>
      <c r="F16" s="22"/>
      <c r="G16" s="3" t="s">
        <v>874</v>
      </c>
    </row>
    <row r="17" spans="1:7" x14ac:dyDescent="0.3">
      <c r="A17" s="19">
        <v>15</v>
      </c>
      <c r="B17" s="20" t="s">
        <v>1407</v>
      </c>
      <c r="C17" s="20" t="s">
        <v>62</v>
      </c>
      <c r="D17" s="22">
        <v>31.76</v>
      </c>
      <c r="E17" s="3" t="s">
        <v>1405</v>
      </c>
      <c r="F17" s="22"/>
      <c r="G17" s="3" t="s">
        <v>874</v>
      </c>
    </row>
    <row r="18" spans="1:7" x14ac:dyDescent="0.3">
      <c r="A18" s="19">
        <v>16</v>
      </c>
      <c r="B18" s="20" t="s">
        <v>1408</v>
      </c>
      <c r="C18" s="20" t="s">
        <v>870</v>
      </c>
      <c r="D18" s="22">
        <v>8.4499999999999993</v>
      </c>
      <c r="E18" s="3" t="s">
        <v>1405</v>
      </c>
      <c r="F18" s="22"/>
      <c r="G18" s="3" t="s">
        <v>871</v>
      </c>
    </row>
    <row r="19" spans="1:7" x14ac:dyDescent="0.3">
      <c r="A19" s="19">
        <v>17</v>
      </c>
      <c r="B19" s="20" t="s">
        <v>1408</v>
      </c>
      <c r="C19" s="20" t="s">
        <v>870</v>
      </c>
      <c r="D19" s="22">
        <v>15.77</v>
      </c>
      <c r="E19" s="3" t="s">
        <v>1405</v>
      </c>
      <c r="F19" s="22"/>
      <c r="G19" s="3" t="s">
        <v>871</v>
      </c>
    </row>
    <row r="20" spans="1:7" x14ac:dyDescent="0.3">
      <c r="A20" s="19">
        <v>18</v>
      </c>
      <c r="B20" s="20" t="s">
        <v>1408</v>
      </c>
      <c r="C20" s="20" t="s">
        <v>870</v>
      </c>
      <c r="D20" s="22">
        <v>15.1</v>
      </c>
      <c r="E20" s="3" t="s">
        <v>1405</v>
      </c>
      <c r="F20" s="22"/>
      <c r="G20" s="3" t="s">
        <v>871</v>
      </c>
    </row>
    <row r="21" spans="1:7" x14ac:dyDescent="0.3">
      <c r="A21" s="19">
        <v>19</v>
      </c>
      <c r="B21" s="20" t="s">
        <v>1408</v>
      </c>
      <c r="C21" s="20" t="s">
        <v>870</v>
      </c>
      <c r="D21" s="22">
        <v>14.12</v>
      </c>
      <c r="E21" s="3" t="s">
        <v>1405</v>
      </c>
      <c r="F21" s="22"/>
      <c r="G21" s="3" t="s">
        <v>871</v>
      </c>
    </row>
    <row r="22" spans="1:7" x14ac:dyDescent="0.3">
      <c r="A22" s="19">
        <v>20</v>
      </c>
      <c r="B22" s="20" t="s">
        <v>1408</v>
      </c>
      <c r="C22" s="20" t="s">
        <v>870</v>
      </c>
      <c r="D22" s="22">
        <v>14.12</v>
      </c>
      <c r="E22" s="3" t="s">
        <v>1405</v>
      </c>
      <c r="F22" s="22"/>
      <c r="G22" s="3" t="s">
        <v>871</v>
      </c>
    </row>
    <row r="23" spans="1:7" x14ac:dyDescent="0.3">
      <c r="A23" s="19">
        <v>21</v>
      </c>
      <c r="B23" s="20" t="s">
        <v>1408</v>
      </c>
      <c r="C23" s="20" t="s">
        <v>870</v>
      </c>
      <c r="D23" s="22">
        <v>14.12</v>
      </c>
      <c r="E23" s="3" t="s">
        <v>1405</v>
      </c>
      <c r="F23" s="22"/>
      <c r="G23" s="3" t="s">
        <v>871</v>
      </c>
    </row>
    <row r="24" spans="1:7" x14ac:dyDescent="0.3">
      <c r="A24" s="19">
        <v>22</v>
      </c>
      <c r="B24" s="20" t="s">
        <v>1408</v>
      </c>
      <c r="C24" s="20" t="s">
        <v>870</v>
      </c>
      <c r="D24" s="22">
        <v>15.99</v>
      </c>
      <c r="E24" s="3" t="s">
        <v>1405</v>
      </c>
      <c r="F24" s="22"/>
      <c r="G24" s="3" t="s">
        <v>871</v>
      </c>
    </row>
    <row r="25" spans="1:7" x14ac:dyDescent="0.3">
      <c r="A25" s="19">
        <v>23</v>
      </c>
      <c r="B25" s="20" t="s">
        <v>1408</v>
      </c>
      <c r="C25" s="20" t="s">
        <v>870</v>
      </c>
      <c r="D25" s="22">
        <v>12.33</v>
      </c>
      <c r="E25" s="3" t="s">
        <v>1405</v>
      </c>
      <c r="F25" s="22"/>
      <c r="G25" s="3" t="s">
        <v>871</v>
      </c>
    </row>
    <row r="26" spans="1:7" x14ac:dyDescent="0.3">
      <c r="A26" s="19">
        <v>24</v>
      </c>
      <c r="B26" s="20" t="s">
        <v>859</v>
      </c>
      <c r="C26" s="20" t="s">
        <v>1070</v>
      </c>
      <c r="D26" s="22">
        <v>7.51</v>
      </c>
      <c r="E26" s="3" t="s">
        <v>1406</v>
      </c>
      <c r="F26" s="22"/>
      <c r="G26" s="3" t="s">
        <v>874</v>
      </c>
    </row>
    <row r="27" spans="1:7" x14ac:dyDescent="0.3">
      <c r="A27" s="19">
        <v>25</v>
      </c>
      <c r="B27" s="20" t="s">
        <v>859</v>
      </c>
      <c r="C27" s="20" t="s">
        <v>1411</v>
      </c>
      <c r="D27" s="22">
        <v>13.02</v>
      </c>
      <c r="E27" s="3" t="s">
        <v>1406</v>
      </c>
      <c r="F27" s="22"/>
      <c r="G27" s="3" t="s">
        <v>874</v>
      </c>
    </row>
    <row r="28" spans="1:7" x14ac:dyDescent="0.3">
      <c r="A28" s="19">
        <v>26</v>
      </c>
      <c r="B28" s="20" t="s">
        <v>859</v>
      </c>
      <c r="C28" s="20" t="s">
        <v>1070</v>
      </c>
      <c r="D28" s="22">
        <v>7.41</v>
      </c>
      <c r="E28" s="3" t="s">
        <v>1406</v>
      </c>
      <c r="F28" s="22"/>
      <c r="G28" s="3" t="s">
        <v>874</v>
      </c>
    </row>
    <row r="29" spans="1:7" x14ac:dyDescent="0.3">
      <c r="A29" s="19">
        <v>27</v>
      </c>
      <c r="B29" s="20" t="s">
        <v>859</v>
      </c>
      <c r="C29" s="20" t="s">
        <v>1070</v>
      </c>
      <c r="D29" s="22">
        <v>2.88</v>
      </c>
      <c r="E29" s="3" t="s">
        <v>1406</v>
      </c>
      <c r="F29" s="22"/>
      <c r="G29" s="3" t="s">
        <v>874</v>
      </c>
    </row>
    <row r="30" spans="1:7" x14ac:dyDescent="0.3">
      <c r="A30" s="19">
        <v>28</v>
      </c>
      <c r="B30" s="20" t="s">
        <v>859</v>
      </c>
      <c r="C30" s="20" t="s">
        <v>1070</v>
      </c>
      <c r="D30" s="22">
        <v>7.68</v>
      </c>
      <c r="E30" s="3" t="s">
        <v>1406</v>
      </c>
      <c r="F30" s="22"/>
      <c r="G30" s="3" t="s">
        <v>874</v>
      </c>
    </row>
    <row r="31" spans="1:7" x14ac:dyDescent="0.3">
      <c r="A31" s="19">
        <v>29</v>
      </c>
      <c r="B31" s="20" t="s">
        <v>859</v>
      </c>
      <c r="C31" s="20" t="s">
        <v>1412</v>
      </c>
      <c r="D31" s="22">
        <v>4.9400000000000004</v>
      </c>
      <c r="E31" s="3" t="s">
        <v>1406</v>
      </c>
      <c r="F31" s="22"/>
      <c r="G31" s="3" t="s">
        <v>874</v>
      </c>
    </row>
    <row r="32" spans="1:7" x14ac:dyDescent="0.3">
      <c r="A32" s="19">
        <v>30</v>
      </c>
      <c r="B32" s="20" t="s">
        <v>859</v>
      </c>
      <c r="C32" s="20" t="s">
        <v>1070</v>
      </c>
      <c r="D32" s="22">
        <v>3.76</v>
      </c>
      <c r="E32" s="3" t="s">
        <v>1406</v>
      </c>
      <c r="F32" s="22"/>
      <c r="G32" s="3" t="s">
        <v>874</v>
      </c>
    </row>
    <row r="33" spans="1:10" x14ac:dyDescent="0.3">
      <c r="A33" s="19">
        <v>31</v>
      </c>
      <c r="B33" s="20" t="s">
        <v>1407</v>
      </c>
      <c r="C33" s="20" t="s">
        <v>1413</v>
      </c>
      <c r="D33" s="22">
        <v>29.76</v>
      </c>
      <c r="E33" s="3" t="s">
        <v>1406</v>
      </c>
      <c r="F33" s="22"/>
      <c r="G33" s="3" t="s">
        <v>875</v>
      </c>
    </row>
    <row r="34" spans="1:10" x14ac:dyDescent="0.3">
      <c r="A34" s="19">
        <v>32</v>
      </c>
      <c r="B34" s="20" t="s">
        <v>1407</v>
      </c>
      <c r="C34" s="20" t="s">
        <v>1413</v>
      </c>
      <c r="D34" s="22">
        <v>61.45</v>
      </c>
      <c r="E34" s="3" t="s">
        <v>1406</v>
      </c>
      <c r="F34" s="22"/>
      <c r="G34" s="3" t="s">
        <v>875</v>
      </c>
    </row>
    <row r="35" spans="1:10" x14ac:dyDescent="0.3">
      <c r="A35" s="19">
        <v>33</v>
      </c>
      <c r="B35" s="20" t="s">
        <v>1407</v>
      </c>
      <c r="C35" s="20" t="s">
        <v>1413</v>
      </c>
      <c r="D35" s="22">
        <v>20.28</v>
      </c>
      <c r="E35" s="3" t="s">
        <v>1406</v>
      </c>
      <c r="F35" s="22"/>
      <c r="G35" s="3" t="s">
        <v>875</v>
      </c>
    </row>
    <row r="36" spans="1:10" x14ac:dyDescent="0.3">
      <c r="A36" s="23"/>
      <c r="B36" s="24"/>
      <c r="C36" s="24"/>
      <c r="D36" s="14"/>
      <c r="E36" s="14"/>
      <c r="F36" s="14"/>
      <c r="G36" s="5"/>
    </row>
    <row r="37" spans="1:10" ht="15" thickBot="1" x14ac:dyDescent="0.35">
      <c r="A37" s="23"/>
      <c r="B37" s="14"/>
      <c r="C37" s="14"/>
      <c r="D37" s="14"/>
      <c r="E37" s="14"/>
      <c r="F37" s="14"/>
      <c r="G37" s="5"/>
    </row>
    <row r="38" spans="1:10" ht="15" thickBot="1" x14ac:dyDescent="0.35">
      <c r="A38" s="13" t="s">
        <v>1414</v>
      </c>
      <c r="B38" s="14"/>
      <c r="C38" s="14"/>
      <c r="D38" s="14"/>
      <c r="E38" s="14"/>
      <c r="F38" s="14"/>
      <c r="G38" s="5"/>
    </row>
    <row r="39" spans="1:10" ht="26.4" x14ac:dyDescent="0.3">
      <c r="A39" s="15" t="s">
        <v>70</v>
      </c>
      <c r="B39" s="16" t="s">
        <v>1402</v>
      </c>
      <c r="C39" s="16" t="s">
        <v>1403</v>
      </c>
      <c r="D39" s="17" t="s">
        <v>73</v>
      </c>
      <c r="E39" s="18" t="s">
        <v>866</v>
      </c>
      <c r="F39" s="18" t="s">
        <v>867</v>
      </c>
      <c r="G39" s="18" t="s">
        <v>868</v>
      </c>
    </row>
    <row r="40" spans="1:10" x14ac:dyDescent="0.3">
      <c r="A40" s="19">
        <v>1</v>
      </c>
      <c r="B40" s="20" t="s">
        <v>1404</v>
      </c>
      <c r="C40" s="20" t="s">
        <v>1190</v>
      </c>
      <c r="D40" s="21">
        <v>92.63</v>
      </c>
      <c r="E40" s="3" t="s">
        <v>1405</v>
      </c>
      <c r="F40" s="22"/>
      <c r="G40" s="25" t="s">
        <v>874</v>
      </c>
      <c r="I40" s="89" t="s">
        <v>68</v>
      </c>
      <c r="J40" t="s">
        <v>69</v>
      </c>
    </row>
    <row r="41" spans="1:10" x14ac:dyDescent="0.3">
      <c r="A41" s="19">
        <v>2</v>
      </c>
      <c r="B41" s="20" t="s">
        <v>1404</v>
      </c>
      <c r="C41" s="20" t="s">
        <v>1190</v>
      </c>
      <c r="D41" s="22">
        <v>30.6</v>
      </c>
      <c r="E41" s="3" t="s">
        <v>1405</v>
      </c>
      <c r="F41" s="22"/>
      <c r="G41" s="25" t="s">
        <v>874</v>
      </c>
      <c r="I41" s="90" t="s">
        <v>875</v>
      </c>
      <c r="J41">
        <v>98.030000000000015</v>
      </c>
    </row>
    <row r="42" spans="1:10" x14ac:dyDescent="0.3">
      <c r="A42" s="19">
        <v>3</v>
      </c>
      <c r="B42" s="20" t="s">
        <v>1404</v>
      </c>
      <c r="C42" s="20" t="s">
        <v>1190</v>
      </c>
      <c r="D42" s="22">
        <v>25.75</v>
      </c>
      <c r="E42" s="3" t="s">
        <v>1405</v>
      </c>
      <c r="F42" s="22"/>
      <c r="G42" s="25" t="s">
        <v>874</v>
      </c>
      <c r="I42" s="99" t="s">
        <v>1407</v>
      </c>
      <c r="J42">
        <v>98.030000000000015</v>
      </c>
    </row>
    <row r="43" spans="1:10" x14ac:dyDescent="0.3">
      <c r="A43" s="19">
        <v>4</v>
      </c>
      <c r="B43" s="20" t="s">
        <v>1404</v>
      </c>
      <c r="C43" s="20" t="s">
        <v>1196</v>
      </c>
      <c r="D43" s="22">
        <v>3.89</v>
      </c>
      <c r="E43" s="3" t="s">
        <v>1415</v>
      </c>
      <c r="F43" s="22"/>
      <c r="G43" s="25" t="s">
        <v>874</v>
      </c>
      <c r="I43" s="90" t="s">
        <v>871</v>
      </c>
      <c r="J43">
        <v>298.57</v>
      </c>
    </row>
    <row r="44" spans="1:10" x14ac:dyDescent="0.3">
      <c r="A44" s="19">
        <v>5</v>
      </c>
      <c r="B44" s="20" t="s">
        <v>1404</v>
      </c>
      <c r="C44" s="20" t="s">
        <v>1196</v>
      </c>
      <c r="D44" s="22">
        <v>8.48</v>
      </c>
      <c r="E44" s="3" t="s">
        <v>1416</v>
      </c>
      <c r="F44" s="22"/>
      <c r="G44" s="25" t="s">
        <v>874</v>
      </c>
      <c r="I44" s="99" t="s">
        <v>1408</v>
      </c>
      <c r="J44">
        <v>298.57</v>
      </c>
    </row>
    <row r="45" spans="1:10" x14ac:dyDescent="0.3">
      <c r="A45" s="19">
        <v>6</v>
      </c>
      <c r="B45" s="20" t="s">
        <v>1407</v>
      </c>
      <c r="C45" s="20" t="s">
        <v>62</v>
      </c>
      <c r="D45" s="22">
        <v>27.99</v>
      </c>
      <c r="E45" s="3" t="s">
        <v>1405</v>
      </c>
      <c r="F45" s="22"/>
      <c r="G45" s="25" t="s">
        <v>874</v>
      </c>
      <c r="I45" s="90" t="s">
        <v>874</v>
      </c>
      <c r="J45">
        <v>379.06999999999994</v>
      </c>
    </row>
    <row r="46" spans="1:10" x14ac:dyDescent="0.3">
      <c r="A46" s="19">
        <v>7</v>
      </c>
      <c r="B46" s="20" t="s">
        <v>1407</v>
      </c>
      <c r="C46" s="20" t="s">
        <v>62</v>
      </c>
      <c r="D46" s="22">
        <v>38.49</v>
      </c>
      <c r="E46" s="3" t="s">
        <v>1405</v>
      </c>
      <c r="F46" s="22"/>
      <c r="G46" s="25" t="s">
        <v>874</v>
      </c>
      <c r="I46" s="99" t="s">
        <v>1404</v>
      </c>
      <c r="J46">
        <v>161.34999999999997</v>
      </c>
    </row>
    <row r="47" spans="1:10" x14ac:dyDescent="0.3">
      <c r="A47" s="19">
        <v>8</v>
      </c>
      <c r="B47" s="20" t="s">
        <v>1407</v>
      </c>
      <c r="C47" s="20" t="s">
        <v>62</v>
      </c>
      <c r="D47" s="22">
        <v>38.49</v>
      </c>
      <c r="E47" s="3" t="s">
        <v>1405</v>
      </c>
      <c r="F47" s="22"/>
      <c r="G47" s="25" t="s">
        <v>874</v>
      </c>
      <c r="I47" s="99" t="s">
        <v>1407</v>
      </c>
      <c r="J47">
        <v>192.21999999999997</v>
      </c>
    </row>
    <row r="48" spans="1:10" x14ac:dyDescent="0.3">
      <c r="A48" s="19">
        <v>9</v>
      </c>
      <c r="B48" s="20" t="s">
        <v>1407</v>
      </c>
      <c r="C48" s="20" t="s">
        <v>62</v>
      </c>
      <c r="D48" s="22">
        <v>29.47</v>
      </c>
      <c r="E48" s="3" t="s">
        <v>1405</v>
      </c>
      <c r="F48" s="22"/>
      <c r="G48" s="25" t="s">
        <v>874</v>
      </c>
      <c r="I48" s="99" t="s">
        <v>859</v>
      </c>
      <c r="J48">
        <v>25.500000000000004</v>
      </c>
    </row>
    <row r="49" spans="1:10" x14ac:dyDescent="0.3">
      <c r="A49" s="19">
        <v>10</v>
      </c>
      <c r="B49" s="20" t="s">
        <v>1407</v>
      </c>
      <c r="C49" s="20" t="s">
        <v>62</v>
      </c>
      <c r="D49" s="22">
        <v>40.25</v>
      </c>
      <c r="E49" s="3" t="s">
        <v>1405</v>
      </c>
      <c r="F49" s="22"/>
      <c r="G49" s="25" t="s">
        <v>875</v>
      </c>
      <c r="I49" s="90" t="s">
        <v>122</v>
      </c>
      <c r="J49">
        <v>775.67000000000007</v>
      </c>
    </row>
    <row r="50" spans="1:10" x14ac:dyDescent="0.3">
      <c r="A50" s="19">
        <v>11</v>
      </c>
      <c r="B50" s="20" t="s">
        <v>1407</v>
      </c>
      <c r="C50" s="20" t="s">
        <v>62</v>
      </c>
      <c r="D50" s="22">
        <v>19.260000000000002</v>
      </c>
      <c r="E50" s="3" t="s">
        <v>1405</v>
      </c>
      <c r="F50" s="22"/>
      <c r="G50" s="25" t="s">
        <v>875</v>
      </c>
    </row>
    <row r="51" spans="1:10" x14ac:dyDescent="0.3">
      <c r="A51" s="19">
        <v>12</v>
      </c>
      <c r="B51" s="20" t="s">
        <v>1407</v>
      </c>
      <c r="C51" s="20" t="s">
        <v>62</v>
      </c>
      <c r="D51" s="22">
        <v>19.260000000000002</v>
      </c>
      <c r="E51" s="3" t="s">
        <v>1405</v>
      </c>
      <c r="F51" s="22"/>
      <c r="G51" s="25" t="s">
        <v>875</v>
      </c>
    </row>
    <row r="52" spans="1:10" x14ac:dyDescent="0.3">
      <c r="A52" s="19">
        <v>13</v>
      </c>
      <c r="B52" s="20" t="s">
        <v>1407</v>
      </c>
      <c r="C52" s="20" t="s">
        <v>62</v>
      </c>
      <c r="D52" s="22">
        <v>19.260000000000002</v>
      </c>
      <c r="E52" s="3" t="s">
        <v>1405</v>
      </c>
      <c r="F52" s="22"/>
      <c r="G52" s="25" t="s">
        <v>875</v>
      </c>
    </row>
    <row r="53" spans="1:10" x14ac:dyDescent="0.3">
      <c r="A53" s="19">
        <v>14</v>
      </c>
      <c r="B53" s="20" t="s">
        <v>1407</v>
      </c>
      <c r="C53" s="20" t="s">
        <v>62</v>
      </c>
      <c r="D53" s="22">
        <v>19.260000000000002</v>
      </c>
      <c r="E53" s="3" t="s">
        <v>1405</v>
      </c>
      <c r="F53" s="22"/>
      <c r="G53" s="25" t="s">
        <v>874</v>
      </c>
    </row>
    <row r="54" spans="1:10" x14ac:dyDescent="0.3">
      <c r="A54" s="19">
        <v>15</v>
      </c>
      <c r="B54" s="20" t="s">
        <v>1407</v>
      </c>
      <c r="C54" s="20" t="s">
        <v>62</v>
      </c>
      <c r="D54" s="22">
        <v>19.260000000000002</v>
      </c>
      <c r="E54" s="3" t="s">
        <v>1405</v>
      </c>
      <c r="F54" s="22"/>
      <c r="G54" s="25" t="s">
        <v>874</v>
      </c>
    </row>
    <row r="55" spans="1:10" x14ac:dyDescent="0.3">
      <c r="A55" s="19">
        <v>16</v>
      </c>
      <c r="B55" s="20" t="s">
        <v>1407</v>
      </c>
      <c r="C55" s="20" t="s">
        <v>62</v>
      </c>
      <c r="D55" s="22">
        <v>19.260000000000002</v>
      </c>
      <c r="E55" s="3" t="s">
        <v>1405</v>
      </c>
      <c r="F55" s="22"/>
      <c r="G55" s="25" t="s">
        <v>874</v>
      </c>
    </row>
    <row r="56" spans="1:10" x14ac:dyDescent="0.3">
      <c r="A56" s="19">
        <v>17</v>
      </c>
      <c r="B56" s="20" t="s">
        <v>1408</v>
      </c>
      <c r="C56" s="20" t="s">
        <v>870</v>
      </c>
      <c r="D56" s="22">
        <v>16.98</v>
      </c>
      <c r="E56" s="3" t="s">
        <v>1405</v>
      </c>
      <c r="F56" s="22"/>
      <c r="G56" s="25" t="s">
        <v>871</v>
      </c>
    </row>
    <row r="57" spans="1:10" x14ac:dyDescent="0.3">
      <c r="A57" s="19">
        <v>18</v>
      </c>
      <c r="B57" s="20" t="s">
        <v>1408</v>
      </c>
      <c r="C57" s="20" t="s">
        <v>870</v>
      </c>
      <c r="D57" s="22">
        <v>16.25</v>
      </c>
      <c r="E57" s="3" t="s">
        <v>1405</v>
      </c>
      <c r="F57" s="22"/>
      <c r="G57" s="25" t="s">
        <v>871</v>
      </c>
    </row>
    <row r="58" spans="1:10" x14ac:dyDescent="0.3">
      <c r="A58" s="19">
        <v>19</v>
      </c>
      <c r="B58" s="20" t="s">
        <v>1408</v>
      </c>
      <c r="C58" s="20" t="s">
        <v>870</v>
      </c>
      <c r="D58" s="22">
        <v>16.25</v>
      </c>
      <c r="E58" s="3" t="s">
        <v>1405</v>
      </c>
      <c r="F58" s="22"/>
      <c r="G58" s="25" t="s">
        <v>871</v>
      </c>
    </row>
    <row r="59" spans="1:10" x14ac:dyDescent="0.3">
      <c r="A59" s="19">
        <v>20</v>
      </c>
      <c r="B59" s="20" t="s">
        <v>1408</v>
      </c>
      <c r="C59" s="20" t="s">
        <v>870</v>
      </c>
      <c r="D59" s="22">
        <v>16.25</v>
      </c>
      <c r="E59" s="3" t="s">
        <v>1405</v>
      </c>
      <c r="F59" s="22"/>
      <c r="G59" s="25" t="s">
        <v>871</v>
      </c>
    </row>
    <row r="60" spans="1:10" x14ac:dyDescent="0.3">
      <c r="A60" s="19">
        <v>21</v>
      </c>
      <c r="B60" s="20" t="s">
        <v>1408</v>
      </c>
      <c r="C60" s="20" t="s">
        <v>870</v>
      </c>
      <c r="D60" s="22">
        <v>16.25</v>
      </c>
      <c r="E60" s="3" t="s">
        <v>1405</v>
      </c>
      <c r="F60" s="22"/>
      <c r="G60" s="25" t="s">
        <v>871</v>
      </c>
    </row>
    <row r="61" spans="1:10" x14ac:dyDescent="0.3">
      <c r="A61" s="19">
        <v>22</v>
      </c>
      <c r="B61" s="20" t="s">
        <v>1408</v>
      </c>
      <c r="C61" s="20" t="s">
        <v>870</v>
      </c>
      <c r="D61" s="22">
        <v>33.22</v>
      </c>
      <c r="E61" s="3" t="s">
        <v>1405</v>
      </c>
      <c r="F61" s="22"/>
      <c r="G61" s="25" t="s">
        <v>871</v>
      </c>
    </row>
    <row r="62" spans="1:10" x14ac:dyDescent="0.3">
      <c r="A62" s="19">
        <v>23</v>
      </c>
      <c r="B62" s="20" t="s">
        <v>1408</v>
      </c>
      <c r="C62" s="20" t="s">
        <v>870</v>
      </c>
      <c r="D62" s="22">
        <v>18.190000000000001</v>
      </c>
      <c r="E62" s="3" t="s">
        <v>1405</v>
      </c>
      <c r="F62" s="22"/>
      <c r="G62" s="25" t="s">
        <v>871</v>
      </c>
    </row>
    <row r="63" spans="1:10" x14ac:dyDescent="0.3">
      <c r="A63" s="19">
        <v>24</v>
      </c>
      <c r="B63" s="20" t="s">
        <v>1408</v>
      </c>
      <c r="C63" s="20" t="s">
        <v>870</v>
      </c>
      <c r="D63" s="22">
        <v>14.31</v>
      </c>
      <c r="E63" s="3" t="s">
        <v>1405</v>
      </c>
      <c r="F63" s="22"/>
      <c r="G63" s="25" t="s">
        <v>871</v>
      </c>
    </row>
    <row r="64" spans="1:10" x14ac:dyDescent="0.3">
      <c r="A64" s="19">
        <v>25</v>
      </c>
      <c r="B64" s="20" t="s">
        <v>1408</v>
      </c>
      <c r="C64" s="20" t="s">
        <v>870</v>
      </c>
      <c r="D64" s="22">
        <v>16.25</v>
      </c>
      <c r="E64" s="3" t="s">
        <v>1405</v>
      </c>
      <c r="F64" s="22"/>
      <c r="G64" s="25" t="s">
        <v>871</v>
      </c>
    </row>
    <row r="65" spans="1:7" x14ac:dyDescent="0.3">
      <c r="A65" s="19">
        <v>26</v>
      </c>
      <c r="B65" s="20" t="s">
        <v>1408</v>
      </c>
      <c r="C65" s="20" t="s">
        <v>870</v>
      </c>
      <c r="D65" s="22">
        <v>16.25</v>
      </c>
      <c r="E65" s="3" t="s">
        <v>1405</v>
      </c>
      <c r="F65" s="22"/>
      <c r="G65" s="25" t="s">
        <v>871</v>
      </c>
    </row>
    <row r="66" spans="1:7" x14ac:dyDescent="0.3">
      <c r="A66" s="19">
        <v>27</v>
      </c>
      <c r="B66" s="20" t="s">
        <v>1408</v>
      </c>
      <c r="C66" s="20" t="s">
        <v>870</v>
      </c>
      <c r="D66" s="22">
        <v>16.23</v>
      </c>
      <c r="E66" s="3" t="s">
        <v>1405</v>
      </c>
      <c r="F66" s="22"/>
      <c r="G66" s="25" t="s">
        <v>871</v>
      </c>
    </row>
    <row r="67" spans="1:7" x14ac:dyDescent="0.3">
      <c r="A67" s="19">
        <v>28</v>
      </c>
      <c r="B67" s="20" t="s">
        <v>1408</v>
      </c>
      <c r="C67" s="20" t="s">
        <v>870</v>
      </c>
      <c r="D67" s="22">
        <v>19.71</v>
      </c>
      <c r="E67" s="3" t="s">
        <v>1405</v>
      </c>
      <c r="F67" s="22"/>
      <c r="G67" s="25" t="s">
        <v>871</v>
      </c>
    </row>
    <row r="68" spans="1:7" x14ac:dyDescent="0.3">
      <c r="A68" s="19">
        <v>29</v>
      </c>
      <c r="B68" s="20" t="s">
        <v>1408</v>
      </c>
      <c r="C68" s="20" t="s">
        <v>870</v>
      </c>
      <c r="D68" s="22">
        <v>19.21</v>
      </c>
      <c r="E68" s="3" t="s">
        <v>1405</v>
      </c>
      <c r="F68" s="22"/>
      <c r="G68" s="25" t="s">
        <v>871</v>
      </c>
    </row>
    <row r="69" spans="1:7" x14ac:dyDescent="0.3">
      <c r="A69" s="19">
        <v>30</v>
      </c>
      <c r="B69" s="20" t="s">
        <v>1408</v>
      </c>
      <c r="C69" s="20" t="s">
        <v>870</v>
      </c>
      <c r="D69" s="22">
        <v>19.22</v>
      </c>
      <c r="E69" s="3" t="s">
        <v>1405</v>
      </c>
      <c r="F69" s="22"/>
      <c r="G69" s="25" t="s">
        <v>871</v>
      </c>
    </row>
    <row r="70" spans="1:7" x14ac:dyDescent="0.3">
      <c r="A70" s="19">
        <v>31</v>
      </c>
      <c r="B70" s="20" t="s">
        <v>1408</v>
      </c>
      <c r="C70" s="20" t="s">
        <v>870</v>
      </c>
      <c r="D70" s="22">
        <v>19.71</v>
      </c>
      <c r="E70" s="3" t="s">
        <v>1405</v>
      </c>
      <c r="F70" s="22"/>
      <c r="G70" s="25" t="s">
        <v>871</v>
      </c>
    </row>
    <row r="71" spans="1:7" x14ac:dyDescent="0.3">
      <c r="A71" s="19">
        <v>32</v>
      </c>
      <c r="B71" s="20" t="s">
        <v>1408</v>
      </c>
      <c r="C71" s="20" t="s">
        <v>870</v>
      </c>
      <c r="D71" s="22">
        <v>8.4600000000000009</v>
      </c>
      <c r="E71" s="3" t="s">
        <v>1405</v>
      </c>
      <c r="F71" s="22"/>
      <c r="G71" s="25" t="s">
        <v>871</v>
      </c>
    </row>
    <row r="72" spans="1:7" x14ac:dyDescent="0.3">
      <c r="A72" s="19">
        <v>33</v>
      </c>
      <c r="B72" s="20" t="s">
        <v>1408</v>
      </c>
      <c r="C72" s="20" t="s">
        <v>870</v>
      </c>
      <c r="D72" s="22">
        <v>15.83</v>
      </c>
      <c r="E72" s="3" t="s">
        <v>1405</v>
      </c>
      <c r="F72" s="22"/>
      <c r="G72" s="25" t="s">
        <v>871</v>
      </c>
    </row>
    <row r="73" spans="1:7" x14ac:dyDescent="0.3">
      <c r="A73" s="19">
        <v>34</v>
      </c>
      <c r="B73" s="20" t="s">
        <v>859</v>
      </c>
      <c r="C73" s="20" t="s">
        <v>1070</v>
      </c>
      <c r="D73" s="22">
        <v>1.5</v>
      </c>
      <c r="E73" s="3" t="s">
        <v>1406</v>
      </c>
      <c r="F73" s="22"/>
      <c r="G73" s="25" t="s">
        <v>874</v>
      </c>
    </row>
    <row r="74" spans="1:7" x14ac:dyDescent="0.3">
      <c r="A74" s="19">
        <v>35</v>
      </c>
      <c r="B74" s="20" t="s">
        <v>859</v>
      </c>
      <c r="C74" s="20" t="s">
        <v>1417</v>
      </c>
      <c r="D74" s="22">
        <v>1.78</v>
      </c>
      <c r="E74" s="3" t="s">
        <v>1406</v>
      </c>
      <c r="F74" s="22"/>
      <c r="G74" s="25" t="s">
        <v>874</v>
      </c>
    </row>
    <row r="75" spans="1:7" x14ac:dyDescent="0.3">
      <c r="A75" s="19">
        <v>36</v>
      </c>
      <c r="B75" s="20" t="s">
        <v>859</v>
      </c>
      <c r="C75" s="20" t="s">
        <v>1070</v>
      </c>
      <c r="D75" s="22">
        <v>5.04</v>
      </c>
      <c r="E75" s="3" t="s">
        <v>1406</v>
      </c>
      <c r="F75" s="22"/>
      <c r="G75" s="25" t="s">
        <v>874</v>
      </c>
    </row>
    <row r="76" spans="1:7" x14ac:dyDescent="0.3">
      <c r="A76" s="19">
        <v>37</v>
      </c>
      <c r="B76" s="20" t="s">
        <v>859</v>
      </c>
      <c r="C76" s="20" t="s">
        <v>1070</v>
      </c>
      <c r="D76" s="22">
        <v>6.53</v>
      </c>
      <c r="E76" s="3" t="s">
        <v>1406</v>
      </c>
      <c r="F76" s="22"/>
      <c r="G76" s="25" t="s">
        <v>874</v>
      </c>
    </row>
    <row r="77" spans="1:7" x14ac:dyDescent="0.3">
      <c r="A77" s="19">
        <v>38</v>
      </c>
      <c r="B77" s="20" t="s">
        <v>859</v>
      </c>
      <c r="C77" s="20" t="s">
        <v>1070</v>
      </c>
      <c r="D77" s="22">
        <v>3.5</v>
      </c>
      <c r="E77" s="3" t="s">
        <v>1406</v>
      </c>
      <c r="F77" s="22"/>
      <c r="G77" s="25" t="s">
        <v>874</v>
      </c>
    </row>
    <row r="78" spans="1:7" x14ac:dyDescent="0.3">
      <c r="A78" s="19">
        <v>39</v>
      </c>
      <c r="B78" s="20" t="s">
        <v>859</v>
      </c>
      <c r="C78" s="20" t="s">
        <v>1070</v>
      </c>
      <c r="D78" s="22">
        <v>3.53</v>
      </c>
      <c r="E78" s="3" t="s">
        <v>1406</v>
      </c>
      <c r="F78" s="22"/>
      <c r="G78" s="25" t="s">
        <v>874</v>
      </c>
    </row>
    <row r="79" spans="1:7" x14ac:dyDescent="0.3">
      <c r="A79" s="19">
        <v>40</v>
      </c>
      <c r="B79" s="20" t="s">
        <v>859</v>
      </c>
      <c r="C79" s="20" t="s">
        <v>1070</v>
      </c>
      <c r="D79" s="22">
        <v>3.62</v>
      </c>
      <c r="E79" s="3" t="s">
        <v>1406</v>
      </c>
      <c r="F79" s="22"/>
      <c r="G79" s="25" t="s">
        <v>874</v>
      </c>
    </row>
    <row r="80" spans="1:7" x14ac:dyDescent="0.3">
      <c r="A80" s="23"/>
      <c r="B80" s="14"/>
      <c r="C80" s="14"/>
      <c r="D80" s="26">
        <f>SUM(D3:D79)</f>
        <v>1587.63</v>
      </c>
      <c r="E80" s="14"/>
      <c r="F80" s="14"/>
      <c r="G80" s="5"/>
    </row>
  </sheetData>
  <pageMargins left="0.7" right="0.7" top="0.78740157499999996" bottom="0.78740157499999996" header="0.3" footer="0.3"/>
  <pageSetup paperSize="9" scale="81" fitToHeight="0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8"/>
  <sheetViews>
    <sheetView workbookViewId="0">
      <selection activeCell="K25" sqref="K25"/>
    </sheetView>
  </sheetViews>
  <sheetFormatPr defaultRowHeight="14.4" x14ac:dyDescent="0.3"/>
  <cols>
    <col min="1" max="1" width="31.5546875" customWidth="1"/>
    <col min="2" max="2" width="9.21875" style="31"/>
    <col min="3" max="3" width="9.21875" style="4"/>
    <col min="4" max="4" width="15.77734375" style="4" customWidth="1"/>
    <col min="6" max="6" width="29.77734375" bestFit="1" customWidth="1"/>
    <col min="7" max="7" width="11.44140625" bestFit="1" customWidth="1"/>
    <col min="9" max="9" width="18.77734375" customWidth="1"/>
    <col min="10" max="10" width="19.44140625" customWidth="1"/>
    <col min="11" max="11" width="9.77734375" customWidth="1"/>
    <col min="12" max="12" width="7.77734375" customWidth="1"/>
  </cols>
  <sheetData>
    <row r="1" spans="1:12" s="30" customFormat="1" ht="18" thickBot="1" x14ac:dyDescent="0.35">
      <c r="A1" s="354" t="s">
        <v>1418</v>
      </c>
      <c r="B1" s="354"/>
      <c r="C1" s="354"/>
      <c r="D1" s="354"/>
      <c r="E1" s="354"/>
      <c r="F1" s="354"/>
      <c r="G1" s="354"/>
      <c r="H1" s="355"/>
      <c r="I1"/>
      <c r="J1"/>
      <c r="K1"/>
    </row>
    <row r="2" spans="1:12" ht="15.6" thickTop="1" thickBot="1" x14ac:dyDescent="0.35">
      <c r="A2" s="81" t="s">
        <v>1419</v>
      </c>
      <c r="B2" s="81" t="s">
        <v>70</v>
      </c>
      <c r="C2" s="81" t="s">
        <v>72</v>
      </c>
      <c r="D2" s="105" t="s">
        <v>73</v>
      </c>
      <c r="E2" s="83" t="s">
        <v>74</v>
      </c>
      <c r="F2" s="81" t="s">
        <v>75</v>
      </c>
      <c r="G2" s="81" t="s">
        <v>76</v>
      </c>
      <c r="H2" s="85" t="s">
        <v>77</v>
      </c>
      <c r="I2" s="18" t="s">
        <v>868</v>
      </c>
    </row>
    <row r="3" spans="1:12" ht="15" thickTop="1" x14ac:dyDescent="0.3">
      <c r="A3" s="106" t="s">
        <v>1420</v>
      </c>
      <c r="B3" s="107" t="s">
        <v>973</v>
      </c>
      <c r="C3" s="108" t="s">
        <v>86</v>
      </c>
      <c r="D3" s="109">
        <v>4.2</v>
      </c>
      <c r="E3" s="110">
        <v>2.58</v>
      </c>
      <c r="F3" s="111" t="s">
        <v>89</v>
      </c>
      <c r="G3" s="108"/>
      <c r="H3" s="108"/>
      <c r="I3" s="3" t="s">
        <v>874</v>
      </c>
    </row>
    <row r="4" spans="1:12" x14ac:dyDescent="0.3">
      <c r="A4" s="112" t="s">
        <v>1421</v>
      </c>
      <c r="B4" s="113" t="s">
        <v>974</v>
      </c>
      <c r="C4" s="1" t="s">
        <v>86</v>
      </c>
      <c r="D4" s="114">
        <v>11.9</v>
      </c>
      <c r="E4" s="110">
        <v>2.52</v>
      </c>
      <c r="F4" s="111" t="s">
        <v>89</v>
      </c>
      <c r="G4" s="1"/>
      <c r="H4" s="1"/>
      <c r="I4" s="3" t="s">
        <v>874</v>
      </c>
    </row>
    <row r="5" spans="1:12" x14ac:dyDescent="0.3">
      <c r="A5" s="112" t="s">
        <v>1422</v>
      </c>
      <c r="B5" s="113" t="s">
        <v>976</v>
      </c>
      <c r="C5" s="1" t="s">
        <v>86</v>
      </c>
      <c r="D5" s="114">
        <v>18.600000000000001</v>
      </c>
      <c r="E5" s="110">
        <v>2.5299999999999998</v>
      </c>
      <c r="F5" s="111" t="s">
        <v>89</v>
      </c>
      <c r="G5" s="1" t="s">
        <v>1423</v>
      </c>
      <c r="H5" s="1"/>
      <c r="I5" s="3" t="s">
        <v>874</v>
      </c>
      <c r="J5" s="130" t="s">
        <v>69</v>
      </c>
      <c r="K5" s="132"/>
      <c r="L5" s="116"/>
    </row>
    <row r="6" spans="1:12" x14ac:dyDescent="0.3">
      <c r="A6" s="112" t="s">
        <v>1424</v>
      </c>
      <c r="B6" s="113" t="s">
        <v>977</v>
      </c>
      <c r="C6" s="1" t="s">
        <v>181</v>
      </c>
      <c r="D6" s="114">
        <v>22.1</v>
      </c>
      <c r="E6" s="110">
        <v>2.9</v>
      </c>
      <c r="F6" s="117" t="s">
        <v>145</v>
      </c>
      <c r="G6" s="1"/>
      <c r="H6" s="1"/>
      <c r="I6" s="3" t="s">
        <v>874</v>
      </c>
      <c r="J6" s="130" t="s">
        <v>868</v>
      </c>
      <c r="K6" s="130" t="s">
        <v>72</v>
      </c>
      <c r="L6" s="116" t="s">
        <v>57</v>
      </c>
    </row>
    <row r="7" spans="1:12" x14ac:dyDescent="0.3">
      <c r="A7" s="112" t="s">
        <v>1425</v>
      </c>
      <c r="B7" s="113" t="s">
        <v>185</v>
      </c>
      <c r="C7" s="1" t="s">
        <v>191</v>
      </c>
      <c r="D7" s="114">
        <v>22.7</v>
      </c>
      <c r="E7" s="110">
        <v>2.91</v>
      </c>
      <c r="F7" s="111" t="s">
        <v>89</v>
      </c>
      <c r="G7" s="1" t="s">
        <v>1426</v>
      </c>
      <c r="H7" s="1"/>
      <c r="I7" s="3" t="s">
        <v>874</v>
      </c>
      <c r="J7" s="115" t="s">
        <v>874</v>
      </c>
      <c r="K7" s="115" t="s">
        <v>86</v>
      </c>
      <c r="L7" s="116">
        <v>54.1</v>
      </c>
    </row>
    <row r="8" spans="1:12" x14ac:dyDescent="0.3">
      <c r="A8" s="112" t="s">
        <v>1427</v>
      </c>
      <c r="B8" s="113" t="s">
        <v>978</v>
      </c>
      <c r="C8" s="1" t="s">
        <v>191</v>
      </c>
      <c r="D8" s="114">
        <v>22.7</v>
      </c>
      <c r="E8" s="110">
        <v>2.91</v>
      </c>
      <c r="F8" s="111" t="s">
        <v>89</v>
      </c>
      <c r="G8" s="1" t="s">
        <v>1426</v>
      </c>
      <c r="H8" s="1"/>
      <c r="I8" s="3" t="s">
        <v>874</v>
      </c>
      <c r="J8" s="133"/>
      <c r="K8" s="118" t="s">
        <v>181</v>
      </c>
      <c r="L8" s="119">
        <v>22.1</v>
      </c>
    </row>
    <row r="9" spans="1:12" x14ac:dyDescent="0.3">
      <c r="A9" s="112" t="s">
        <v>1428</v>
      </c>
      <c r="B9" s="113" t="s">
        <v>979</v>
      </c>
      <c r="C9" s="1" t="s">
        <v>93</v>
      </c>
      <c r="D9" s="114">
        <v>21.2</v>
      </c>
      <c r="E9" s="110">
        <v>2.91</v>
      </c>
      <c r="F9" s="111" t="s">
        <v>89</v>
      </c>
      <c r="G9" s="1" t="s">
        <v>1426</v>
      </c>
      <c r="H9" s="1"/>
      <c r="I9" s="3" t="s">
        <v>874</v>
      </c>
      <c r="J9" s="133"/>
      <c r="K9" s="118" t="s">
        <v>313</v>
      </c>
      <c r="L9" s="119">
        <v>9.5</v>
      </c>
    </row>
    <row r="10" spans="1:12" x14ac:dyDescent="0.3">
      <c r="A10" s="112" t="s">
        <v>1429</v>
      </c>
      <c r="B10" s="113" t="s">
        <v>981</v>
      </c>
      <c r="C10" s="1" t="s">
        <v>313</v>
      </c>
      <c r="D10" s="114">
        <v>9.5</v>
      </c>
      <c r="E10" s="110">
        <v>2.89</v>
      </c>
      <c r="F10" s="111" t="s">
        <v>89</v>
      </c>
      <c r="G10" s="1" t="s">
        <v>1430</v>
      </c>
      <c r="H10" s="1"/>
      <c r="I10" s="3" t="s">
        <v>874</v>
      </c>
      <c r="J10" s="133"/>
      <c r="K10" s="118" t="s">
        <v>1431</v>
      </c>
      <c r="L10" s="119">
        <v>22.6</v>
      </c>
    </row>
    <row r="11" spans="1:12" x14ac:dyDescent="0.3">
      <c r="A11" s="112" t="s">
        <v>1432</v>
      </c>
      <c r="B11" s="113" t="s">
        <v>982</v>
      </c>
      <c r="C11" s="1" t="s">
        <v>93</v>
      </c>
      <c r="D11" s="114">
        <v>11.3</v>
      </c>
      <c r="E11" s="110">
        <v>2.89</v>
      </c>
      <c r="F11" s="111" t="s">
        <v>89</v>
      </c>
      <c r="G11" s="1" t="s">
        <v>1430</v>
      </c>
      <c r="H11" s="1"/>
      <c r="I11" s="3" t="s">
        <v>874</v>
      </c>
      <c r="J11" s="133"/>
      <c r="K11" s="118" t="s">
        <v>93</v>
      </c>
      <c r="L11" s="119">
        <v>32.5</v>
      </c>
    </row>
    <row r="12" spans="1:12" x14ac:dyDescent="0.3">
      <c r="A12" s="112" t="s">
        <v>1433</v>
      </c>
      <c r="B12" s="113">
        <v>10</v>
      </c>
      <c r="C12" s="1" t="s">
        <v>1431</v>
      </c>
      <c r="D12" s="114">
        <v>22.6</v>
      </c>
      <c r="E12" s="110">
        <v>2.89</v>
      </c>
      <c r="F12" s="111" t="s">
        <v>89</v>
      </c>
      <c r="G12" s="1" t="s">
        <v>1430</v>
      </c>
      <c r="H12" s="1"/>
      <c r="I12" s="3" t="s">
        <v>874</v>
      </c>
      <c r="J12" s="133"/>
      <c r="K12" s="118" t="s">
        <v>1434</v>
      </c>
      <c r="L12" s="119">
        <v>29.7</v>
      </c>
    </row>
    <row r="13" spans="1:12" x14ac:dyDescent="0.3">
      <c r="A13" s="112" t="s">
        <v>1435</v>
      </c>
      <c r="B13" s="113">
        <v>11</v>
      </c>
      <c r="C13" s="1" t="s">
        <v>1434</v>
      </c>
      <c r="D13" s="114">
        <v>23</v>
      </c>
      <c r="E13" s="110">
        <v>2.89</v>
      </c>
      <c r="F13" s="111" t="s">
        <v>89</v>
      </c>
      <c r="G13" s="1" t="s">
        <v>1430</v>
      </c>
      <c r="H13" s="1"/>
      <c r="I13" s="3" t="s">
        <v>874</v>
      </c>
      <c r="J13" s="133"/>
      <c r="K13" s="118" t="s">
        <v>191</v>
      </c>
      <c r="L13" s="119">
        <v>45.4</v>
      </c>
    </row>
    <row r="14" spans="1:12" x14ac:dyDescent="0.3">
      <c r="A14" s="112" t="s">
        <v>1436</v>
      </c>
      <c r="B14" s="113">
        <v>13</v>
      </c>
      <c r="C14" s="1" t="s">
        <v>176</v>
      </c>
      <c r="D14" s="114">
        <v>3</v>
      </c>
      <c r="E14" s="110">
        <v>2.9</v>
      </c>
      <c r="F14" s="111" t="s">
        <v>89</v>
      </c>
      <c r="G14" s="1" t="s">
        <v>1430</v>
      </c>
      <c r="H14" s="1"/>
      <c r="I14" s="3" t="s">
        <v>874</v>
      </c>
      <c r="J14" s="133"/>
      <c r="K14" s="118" t="s">
        <v>198</v>
      </c>
      <c r="L14" s="119">
        <v>4.4000000000000004</v>
      </c>
    </row>
    <row r="15" spans="1:12" x14ac:dyDescent="0.3">
      <c r="A15" s="112" t="s">
        <v>1437</v>
      </c>
      <c r="B15" s="113">
        <v>14</v>
      </c>
      <c r="C15" s="1" t="s">
        <v>176</v>
      </c>
      <c r="D15" s="114">
        <v>3</v>
      </c>
      <c r="E15" s="110">
        <v>2.9</v>
      </c>
      <c r="F15" s="111" t="s">
        <v>89</v>
      </c>
      <c r="G15" s="1" t="s">
        <v>1430</v>
      </c>
      <c r="H15" s="1"/>
      <c r="I15" s="3" t="s">
        <v>874</v>
      </c>
      <c r="J15" s="133"/>
      <c r="K15" s="118" t="s">
        <v>176</v>
      </c>
      <c r="L15" s="119">
        <v>6</v>
      </c>
    </row>
    <row r="16" spans="1:12" x14ac:dyDescent="0.3">
      <c r="A16" s="112" t="s">
        <v>1438</v>
      </c>
      <c r="B16" s="113">
        <v>15</v>
      </c>
      <c r="C16" s="1" t="s">
        <v>1434</v>
      </c>
      <c r="D16" s="114">
        <v>6.7</v>
      </c>
      <c r="E16" s="110">
        <v>2.85</v>
      </c>
      <c r="F16" s="111" t="s">
        <v>89</v>
      </c>
      <c r="G16" s="1" t="s">
        <v>1430</v>
      </c>
      <c r="H16" s="1"/>
      <c r="I16" s="3" t="s">
        <v>874</v>
      </c>
      <c r="J16" s="115" t="s">
        <v>25</v>
      </c>
      <c r="K16" s="115" t="s">
        <v>1439</v>
      </c>
      <c r="L16" s="116">
        <v>115.1</v>
      </c>
    </row>
    <row r="17" spans="1:12" x14ac:dyDescent="0.3">
      <c r="A17" s="112" t="s">
        <v>1440</v>
      </c>
      <c r="B17" s="113">
        <v>16</v>
      </c>
      <c r="C17" s="1" t="s">
        <v>198</v>
      </c>
      <c r="D17" s="114">
        <v>4.4000000000000004</v>
      </c>
      <c r="E17" s="110">
        <v>2.85</v>
      </c>
      <c r="F17" s="111" t="s">
        <v>89</v>
      </c>
      <c r="G17" s="1" t="s">
        <v>1430</v>
      </c>
      <c r="H17" s="1"/>
      <c r="I17" s="3" t="s">
        <v>874</v>
      </c>
      <c r="J17" s="120" t="s">
        <v>122</v>
      </c>
      <c r="K17" s="134"/>
      <c r="L17" s="121">
        <v>341.4</v>
      </c>
    </row>
    <row r="18" spans="1:12" x14ac:dyDescent="0.3">
      <c r="A18" s="112" t="s">
        <v>1441</v>
      </c>
      <c r="B18" s="113">
        <v>18</v>
      </c>
      <c r="C18" s="1" t="s">
        <v>86</v>
      </c>
      <c r="D18" s="114">
        <v>11.9</v>
      </c>
      <c r="E18" s="110">
        <v>2.89</v>
      </c>
      <c r="F18" s="111" t="s">
        <v>89</v>
      </c>
      <c r="G18" s="1" t="s">
        <v>1430</v>
      </c>
      <c r="H18" s="1"/>
      <c r="I18" s="3" t="s">
        <v>874</v>
      </c>
    </row>
    <row r="19" spans="1:12" x14ac:dyDescent="0.3">
      <c r="A19" s="112" t="s">
        <v>1442</v>
      </c>
      <c r="B19" s="113">
        <v>19</v>
      </c>
      <c r="C19" s="1" t="s">
        <v>86</v>
      </c>
      <c r="D19" s="114">
        <v>7.5</v>
      </c>
      <c r="E19" s="110">
        <v>2.89</v>
      </c>
      <c r="F19" s="111" t="s">
        <v>89</v>
      </c>
      <c r="G19" s="1" t="s">
        <v>1430</v>
      </c>
      <c r="H19" s="1"/>
      <c r="I19" s="3" t="s">
        <v>874</v>
      </c>
    </row>
    <row r="20" spans="1:12" x14ac:dyDescent="0.3">
      <c r="A20" s="112" t="s">
        <v>1443</v>
      </c>
      <c r="B20" s="113" t="s">
        <v>1444</v>
      </c>
      <c r="C20" s="1" t="s">
        <v>1439</v>
      </c>
      <c r="D20" s="114">
        <v>7.6</v>
      </c>
      <c r="E20" s="110">
        <v>2.89</v>
      </c>
      <c r="F20" s="110" t="s">
        <v>1445</v>
      </c>
      <c r="G20" s="1"/>
      <c r="H20" s="1"/>
      <c r="I20" s="3" t="s">
        <v>25</v>
      </c>
    </row>
    <row r="21" spans="1:12" x14ac:dyDescent="0.3">
      <c r="A21" s="112" t="s">
        <v>1446</v>
      </c>
      <c r="B21" s="113" t="s">
        <v>1447</v>
      </c>
      <c r="C21" s="1" t="s">
        <v>1439</v>
      </c>
      <c r="D21" s="114">
        <v>4</v>
      </c>
      <c r="E21" s="110">
        <v>2.89</v>
      </c>
      <c r="F21" s="110" t="s">
        <v>1445</v>
      </c>
      <c r="G21" s="1"/>
      <c r="H21" s="1"/>
      <c r="I21" s="3" t="s">
        <v>25</v>
      </c>
    </row>
    <row r="22" spans="1:12" x14ac:dyDescent="0.3">
      <c r="A22" s="112" t="s">
        <v>1448</v>
      </c>
      <c r="B22" s="113" t="s">
        <v>1449</v>
      </c>
      <c r="C22" s="1" t="s">
        <v>1439</v>
      </c>
      <c r="D22" s="114">
        <v>7.6</v>
      </c>
      <c r="E22" s="110">
        <v>2.89</v>
      </c>
      <c r="F22" s="110" t="s">
        <v>1445</v>
      </c>
      <c r="G22" s="1"/>
      <c r="H22" s="1"/>
      <c r="I22" s="3" t="s">
        <v>25</v>
      </c>
    </row>
    <row r="23" spans="1:12" x14ac:dyDescent="0.3">
      <c r="A23" s="112" t="s">
        <v>1450</v>
      </c>
      <c r="B23" s="113" t="s">
        <v>1451</v>
      </c>
      <c r="C23" s="1" t="s">
        <v>1439</v>
      </c>
      <c r="D23" s="114">
        <v>4</v>
      </c>
      <c r="E23" s="110">
        <v>2.89</v>
      </c>
      <c r="F23" s="110" t="s">
        <v>1445</v>
      </c>
      <c r="G23" s="1"/>
      <c r="H23" s="1"/>
      <c r="I23" s="3" t="s">
        <v>25</v>
      </c>
    </row>
    <row r="24" spans="1:12" x14ac:dyDescent="0.3">
      <c r="A24" s="112" t="s">
        <v>1452</v>
      </c>
      <c r="B24" s="113" t="s">
        <v>1453</v>
      </c>
      <c r="C24" s="1" t="s">
        <v>1439</v>
      </c>
      <c r="D24" s="114">
        <v>7.6</v>
      </c>
      <c r="E24" s="110">
        <v>2.89</v>
      </c>
      <c r="F24" s="110" t="s">
        <v>1445</v>
      </c>
      <c r="G24" s="1"/>
      <c r="H24" s="1"/>
      <c r="I24" s="3" t="s">
        <v>25</v>
      </c>
    </row>
    <row r="25" spans="1:12" x14ac:dyDescent="0.3">
      <c r="A25" s="112" t="s">
        <v>1454</v>
      </c>
      <c r="B25" s="113" t="s">
        <v>1455</v>
      </c>
      <c r="C25" s="1" t="s">
        <v>1439</v>
      </c>
      <c r="D25" s="114">
        <v>4</v>
      </c>
      <c r="E25" s="110">
        <v>2.89</v>
      </c>
      <c r="F25" s="110" t="s">
        <v>1445</v>
      </c>
      <c r="G25" s="1"/>
      <c r="H25" s="1"/>
      <c r="I25" s="3" t="s">
        <v>25</v>
      </c>
    </row>
    <row r="26" spans="1:12" x14ac:dyDescent="0.3">
      <c r="A26" s="112" t="s">
        <v>1456</v>
      </c>
      <c r="B26" s="113" t="s">
        <v>1457</v>
      </c>
      <c r="C26" s="1" t="s">
        <v>1439</v>
      </c>
      <c r="D26" s="114">
        <v>7.6</v>
      </c>
      <c r="E26" s="110">
        <v>2.89</v>
      </c>
      <c r="F26" s="110" t="s">
        <v>1445</v>
      </c>
      <c r="G26" s="1"/>
      <c r="H26" s="1"/>
      <c r="I26" s="3" t="s">
        <v>25</v>
      </c>
    </row>
    <row r="27" spans="1:12" x14ac:dyDescent="0.3">
      <c r="A27" s="112" t="s">
        <v>1458</v>
      </c>
      <c r="B27" s="113" t="s">
        <v>1459</v>
      </c>
      <c r="C27" s="1" t="s">
        <v>1439</v>
      </c>
      <c r="D27" s="114">
        <v>4</v>
      </c>
      <c r="E27" s="110">
        <v>2.89</v>
      </c>
      <c r="F27" s="110" t="s">
        <v>1445</v>
      </c>
      <c r="G27" s="1"/>
      <c r="H27" s="1"/>
      <c r="I27" s="3" t="s">
        <v>25</v>
      </c>
    </row>
    <row r="28" spans="1:12" x14ac:dyDescent="0.3">
      <c r="A28" s="112" t="s">
        <v>1460</v>
      </c>
      <c r="B28" s="113" t="s">
        <v>1461</v>
      </c>
      <c r="C28" s="1" t="s">
        <v>1439</v>
      </c>
      <c r="D28" s="114">
        <v>7.6</v>
      </c>
      <c r="E28" s="110">
        <v>2.89</v>
      </c>
      <c r="F28" s="110" t="s">
        <v>1445</v>
      </c>
      <c r="G28" s="1"/>
      <c r="H28" s="1"/>
      <c r="I28" s="3" t="s">
        <v>25</v>
      </c>
    </row>
    <row r="29" spans="1:12" x14ac:dyDescent="0.3">
      <c r="A29" s="112" t="s">
        <v>1462</v>
      </c>
      <c r="B29" s="113" t="s">
        <v>1463</v>
      </c>
      <c r="C29" s="1" t="s">
        <v>1439</v>
      </c>
      <c r="D29" s="114">
        <v>4</v>
      </c>
      <c r="E29" s="110">
        <v>2.89</v>
      </c>
      <c r="F29" s="110" t="s">
        <v>1445</v>
      </c>
      <c r="G29" s="1"/>
      <c r="H29" s="1"/>
      <c r="I29" s="3" t="s">
        <v>25</v>
      </c>
    </row>
    <row r="30" spans="1:12" x14ac:dyDescent="0.3">
      <c r="A30" s="112" t="s">
        <v>1464</v>
      </c>
      <c r="B30" s="113" t="s">
        <v>1465</v>
      </c>
      <c r="C30" s="1" t="s">
        <v>1439</v>
      </c>
      <c r="D30" s="114">
        <v>7.6</v>
      </c>
      <c r="E30" s="110">
        <v>2.89</v>
      </c>
      <c r="F30" s="110" t="s">
        <v>1445</v>
      </c>
      <c r="G30" s="1"/>
      <c r="H30" s="1"/>
      <c r="I30" s="3" t="s">
        <v>25</v>
      </c>
    </row>
    <row r="31" spans="1:12" x14ac:dyDescent="0.3">
      <c r="A31" s="112" t="s">
        <v>1466</v>
      </c>
      <c r="B31" s="113" t="s">
        <v>1467</v>
      </c>
      <c r="C31" s="1" t="s">
        <v>1439</v>
      </c>
      <c r="D31" s="114">
        <v>3.7</v>
      </c>
      <c r="E31" s="110">
        <v>2.89</v>
      </c>
      <c r="F31" s="110" t="s">
        <v>1445</v>
      </c>
      <c r="G31" s="1"/>
      <c r="H31" s="1"/>
      <c r="I31" s="3" t="s">
        <v>25</v>
      </c>
    </row>
    <row r="32" spans="1:12" x14ac:dyDescent="0.3">
      <c r="A32" s="112" t="s">
        <v>1468</v>
      </c>
      <c r="B32" s="113" t="s">
        <v>1469</v>
      </c>
      <c r="C32" s="1" t="s">
        <v>1439</v>
      </c>
      <c r="D32" s="114">
        <v>7.7</v>
      </c>
      <c r="E32" s="110">
        <v>2.89</v>
      </c>
      <c r="F32" s="110" t="s">
        <v>1445</v>
      </c>
      <c r="G32" s="1"/>
      <c r="H32" s="1"/>
      <c r="I32" s="3" t="s">
        <v>25</v>
      </c>
    </row>
    <row r="33" spans="1:9" x14ac:dyDescent="0.3">
      <c r="A33" s="112" t="s">
        <v>1470</v>
      </c>
      <c r="B33" s="113" t="s">
        <v>1471</v>
      </c>
      <c r="C33" s="1" t="s">
        <v>1439</v>
      </c>
      <c r="D33" s="114">
        <v>3.8</v>
      </c>
      <c r="E33" s="110">
        <v>2.89</v>
      </c>
      <c r="F33" s="110" t="s">
        <v>1445</v>
      </c>
      <c r="G33" s="1"/>
      <c r="H33" s="1"/>
      <c r="I33" s="3" t="s">
        <v>25</v>
      </c>
    </row>
    <row r="34" spans="1:9" x14ac:dyDescent="0.3">
      <c r="A34" s="112" t="s">
        <v>1472</v>
      </c>
      <c r="B34" s="113" t="s">
        <v>1075</v>
      </c>
      <c r="C34" s="1" t="s">
        <v>1439</v>
      </c>
      <c r="D34" s="114">
        <v>7.6</v>
      </c>
      <c r="E34" s="110">
        <v>2.89</v>
      </c>
      <c r="F34" s="110" t="s">
        <v>1445</v>
      </c>
      <c r="G34" s="1"/>
      <c r="H34" s="1"/>
      <c r="I34" s="3" t="s">
        <v>25</v>
      </c>
    </row>
    <row r="35" spans="1:9" x14ac:dyDescent="0.3">
      <c r="A35" s="112" t="s">
        <v>1473</v>
      </c>
      <c r="B35" s="113" t="s">
        <v>1078</v>
      </c>
      <c r="C35" s="1" t="s">
        <v>1439</v>
      </c>
      <c r="D35" s="114">
        <v>3.7</v>
      </c>
      <c r="E35" s="110">
        <v>2.89</v>
      </c>
      <c r="F35" s="110" t="s">
        <v>1445</v>
      </c>
      <c r="G35" s="1"/>
      <c r="H35" s="1"/>
      <c r="I35" s="3" t="s">
        <v>25</v>
      </c>
    </row>
    <row r="36" spans="1:9" x14ac:dyDescent="0.3">
      <c r="A36" s="112" t="s">
        <v>1474</v>
      </c>
      <c r="B36" s="113" t="s">
        <v>1475</v>
      </c>
      <c r="C36" s="1" t="s">
        <v>1439</v>
      </c>
      <c r="D36" s="114">
        <v>7.8</v>
      </c>
      <c r="E36" s="110">
        <v>2.89</v>
      </c>
      <c r="F36" s="110" t="s">
        <v>1445</v>
      </c>
      <c r="G36" s="1"/>
      <c r="H36" s="1"/>
      <c r="I36" s="3" t="s">
        <v>25</v>
      </c>
    </row>
    <row r="37" spans="1:9" x14ac:dyDescent="0.3">
      <c r="A37" s="112" t="s">
        <v>1476</v>
      </c>
      <c r="B37" s="113" t="s">
        <v>1477</v>
      </c>
      <c r="C37" s="1" t="s">
        <v>1439</v>
      </c>
      <c r="D37" s="114">
        <v>3.9</v>
      </c>
      <c r="E37" s="110">
        <v>2.89</v>
      </c>
      <c r="F37" s="110" t="s">
        <v>1445</v>
      </c>
      <c r="G37" s="1"/>
      <c r="H37" s="1"/>
      <c r="I37" s="3" t="s">
        <v>25</v>
      </c>
    </row>
    <row r="38" spans="1:9" x14ac:dyDescent="0.3">
      <c r="A38" s="112" t="s">
        <v>1478</v>
      </c>
      <c r="B38" s="113" t="s">
        <v>1479</v>
      </c>
      <c r="C38" s="1" t="s">
        <v>1439</v>
      </c>
      <c r="D38" s="114">
        <v>7.6</v>
      </c>
      <c r="E38" s="110">
        <v>2.89</v>
      </c>
      <c r="F38" s="110" t="s">
        <v>1445</v>
      </c>
      <c r="G38" s="1"/>
      <c r="H38" s="1"/>
      <c r="I38" s="3" t="s">
        <v>25</v>
      </c>
    </row>
    <row r="39" spans="1:9" ht="15" thickBot="1" x14ac:dyDescent="0.35">
      <c r="A39" s="122" t="s">
        <v>1480</v>
      </c>
      <c r="B39" s="123" t="s">
        <v>1481</v>
      </c>
      <c r="C39" s="1" t="s">
        <v>1439</v>
      </c>
      <c r="D39" s="124">
        <v>3.7</v>
      </c>
      <c r="E39" s="110">
        <v>2.89</v>
      </c>
      <c r="F39" s="110" t="s">
        <v>1445</v>
      </c>
      <c r="G39" s="125"/>
      <c r="H39" s="125"/>
      <c r="I39" s="3" t="s">
        <v>25</v>
      </c>
    </row>
    <row r="40" spans="1:9" ht="15.6" thickTop="1" thickBot="1" x14ac:dyDescent="0.35">
      <c r="A40" s="126" t="s">
        <v>123</v>
      </c>
      <c r="B40" s="126"/>
      <c r="C40" s="127"/>
      <c r="D40" s="128">
        <f>SUM(D3:D39)</f>
        <v>341.40000000000009</v>
      </c>
      <c r="E40" s="129"/>
      <c r="F40" s="127"/>
      <c r="G40" s="127"/>
      <c r="H40" s="127"/>
      <c r="I40" s="131"/>
    </row>
    <row r="41" spans="1:9" ht="15" thickTop="1" x14ac:dyDescent="0.3">
      <c r="I41" s="5"/>
    </row>
    <row r="42" spans="1:9" x14ac:dyDescent="0.3">
      <c r="I42" s="5"/>
    </row>
    <row r="43" spans="1:9" x14ac:dyDescent="0.3">
      <c r="I43" s="5"/>
    </row>
    <row r="44" spans="1:9" x14ac:dyDescent="0.3">
      <c r="I44" s="5"/>
    </row>
    <row r="45" spans="1:9" x14ac:dyDescent="0.3">
      <c r="I45" s="5"/>
    </row>
    <row r="46" spans="1:9" x14ac:dyDescent="0.3">
      <c r="I46" s="5"/>
    </row>
    <row r="47" spans="1:9" x14ac:dyDescent="0.3">
      <c r="I47" s="5"/>
    </row>
    <row r="48" spans="1:9" x14ac:dyDescent="0.3">
      <c r="I48" s="5"/>
    </row>
  </sheetData>
  <mergeCells count="1">
    <mergeCell ref="A1:H1"/>
  </mergeCells>
  <pageMargins left="0.7" right="0.7" top="0.78740157499999996" bottom="0.78740157499999996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"/>
  <sheetViews>
    <sheetView topLeftCell="D1" workbookViewId="0">
      <selection activeCell="E3" sqref="E3"/>
    </sheetView>
  </sheetViews>
  <sheetFormatPr defaultRowHeight="14.4" x14ac:dyDescent="0.3"/>
  <cols>
    <col min="1" max="1" width="39" customWidth="1"/>
    <col min="2" max="2" width="27.44140625" customWidth="1"/>
    <col min="5" max="5" width="29.77734375" bestFit="1" customWidth="1"/>
    <col min="6" max="6" width="11.44140625" bestFit="1" customWidth="1"/>
  </cols>
  <sheetData>
    <row r="1" spans="1:6" ht="43.2" x14ac:dyDescent="0.3">
      <c r="A1" s="27" t="s">
        <v>1482</v>
      </c>
      <c r="B1" s="28" t="s">
        <v>1483</v>
      </c>
      <c r="C1" s="29" t="s">
        <v>1484</v>
      </c>
      <c r="E1" s="89" t="s">
        <v>68</v>
      </c>
      <c r="F1" t="s">
        <v>1485</v>
      </c>
    </row>
    <row r="2" spans="1:6" x14ac:dyDescent="0.3">
      <c r="A2" s="20" t="s">
        <v>1486</v>
      </c>
      <c r="B2" s="32">
        <v>0</v>
      </c>
      <c r="C2" s="1" t="s">
        <v>874</v>
      </c>
      <c r="E2" s="90" t="s">
        <v>874</v>
      </c>
      <c r="F2">
        <v>38.75</v>
      </c>
    </row>
    <row r="3" spans="1:6" x14ac:dyDescent="0.3">
      <c r="A3" s="20" t="s">
        <v>1407</v>
      </c>
      <c r="B3" s="32">
        <v>29.75</v>
      </c>
      <c r="C3" s="1" t="s">
        <v>874</v>
      </c>
      <c r="E3" s="99" t="s">
        <v>1404</v>
      </c>
      <c r="F3">
        <v>6</v>
      </c>
    </row>
    <row r="4" spans="1:6" x14ac:dyDescent="0.3">
      <c r="A4" s="20" t="s">
        <v>1408</v>
      </c>
      <c r="B4" s="32">
        <v>0</v>
      </c>
      <c r="C4" s="1" t="s">
        <v>874</v>
      </c>
      <c r="E4" s="99" t="s">
        <v>1408</v>
      </c>
      <c r="F4">
        <v>0</v>
      </c>
    </row>
    <row r="5" spans="1:6" x14ac:dyDescent="0.3">
      <c r="A5" s="20" t="s">
        <v>1404</v>
      </c>
      <c r="B5" s="32">
        <v>6</v>
      </c>
      <c r="C5" s="1" t="s">
        <v>874</v>
      </c>
      <c r="E5" s="99" t="s">
        <v>1407</v>
      </c>
      <c r="F5">
        <v>29.75</v>
      </c>
    </row>
    <row r="6" spans="1:6" x14ac:dyDescent="0.3">
      <c r="A6" s="20" t="s">
        <v>859</v>
      </c>
      <c r="B6" s="32">
        <v>3</v>
      </c>
      <c r="C6" s="1" t="s">
        <v>874</v>
      </c>
      <c r="E6" s="99" t="s">
        <v>1486</v>
      </c>
      <c r="F6">
        <v>0</v>
      </c>
    </row>
    <row r="7" spans="1:6" x14ac:dyDescent="0.3">
      <c r="A7" s="33" t="s">
        <v>1487</v>
      </c>
      <c r="B7" s="97">
        <f>SUM(B2:B6)</f>
        <v>38.75</v>
      </c>
      <c r="C7" s="98"/>
      <c r="E7" s="99" t="s">
        <v>859</v>
      </c>
      <c r="F7">
        <v>3</v>
      </c>
    </row>
    <row r="8" spans="1:6" x14ac:dyDescent="0.3">
      <c r="E8" s="90" t="s">
        <v>122</v>
      </c>
      <c r="F8">
        <v>38.75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9"/>
  <sheetViews>
    <sheetView workbookViewId="0">
      <selection activeCell="J53" sqref="J53"/>
    </sheetView>
  </sheetViews>
  <sheetFormatPr defaultRowHeight="14.4" x14ac:dyDescent="0.3"/>
  <cols>
    <col min="1" max="1" width="30.77734375" customWidth="1"/>
    <col min="2" max="2" width="17.5546875" customWidth="1"/>
    <col min="5" max="5" width="29.77734375" customWidth="1"/>
    <col min="6" max="6" width="11.44140625" bestFit="1" customWidth="1"/>
  </cols>
  <sheetData>
    <row r="1" spans="1:6" ht="43.2" x14ac:dyDescent="0.3">
      <c r="A1" s="27" t="s">
        <v>1482</v>
      </c>
      <c r="B1" s="28" t="s">
        <v>1483</v>
      </c>
      <c r="C1" s="29" t="s">
        <v>1484</v>
      </c>
    </row>
    <row r="2" spans="1:6" x14ac:dyDescent="0.3">
      <c r="A2" s="20" t="s">
        <v>1486</v>
      </c>
      <c r="B2" s="32">
        <v>0</v>
      </c>
      <c r="C2" s="1" t="s">
        <v>874</v>
      </c>
      <c r="E2" s="89" t="s">
        <v>68</v>
      </c>
      <c r="F2" t="s">
        <v>1485</v>
      </c>
    </row>
    <row r="3" spans="1:6" x14ac:dyDescent="0.3">
      <c r="A3" s="20" t="s">
        <v>1407</v>
      </c>
      <c r="B3" s="32">
        <v>232.16</v>
      </c>
      <c r="C3" s="1" t="s">
        <v>874</v>
      </c>
      <c r="E3" s="90" t="s">
        <v>874</v>
      </c>
    </row>
    <row r="4" spans="1:6" x14ac:dyDescent="0.3">
      <c r="A4" s="20" t="s">
        <v>1408</v>
      </c>
      <c r="B4" s="32">
        <v>0</v>
      </c>
      <c r="C4" s="1" t="s">
        <v>874</v>
      </c>
      <c r="E4" s="99" t="s">
        <v>1404</v>
      </c>
      <c r="F4">
        <v>321.93</v>
      </c>
    </row>
    <row r="5" spans="1:6" x14ac:dyDescent="0.3">
      <c r="A5" s="20" t="s">
        <v>1404</v>
      </c>
      <c r="B5" s="32">
        <v>321.93</v>
      </c>
      <c r="C5" s="1" t="s">
        <v>874</v>
      </c>
      <c r="E5" s="99" t="s">
        <v>1408</v>
      </c>
      <c r="F5">
        <v>0</v>
      </c>
    </row>
    <row r="6" spans="1:6" x14ac:dyDescent="0.3">
      <c r="A6" s="20" t="s">
        <v>859</v>
      </c>
      <c r="B6" s="32">
        <v>27.35</v>
      </c>
      <c r="C6" s="1" t="s">
        <v>874</v>
      </c>
      <c r="E6" s="99" t="s">
        <v>1407</v>
      </c>
      <c r="F6">
        <v>232.16</v>
      </c>
    </row>
    <row r="7" spans="1:6" x14ac:dyDescent="0.3">
      <c r="E7" s="99" t="s">
        <v>1486</v>
      </c>
      <c r="F7">
        <v>0</v>
      </c>
    </row>
    <row r="8" spans="1:6" x14ac:dyDescent="0.3">
      <c r="E8" s="99" t="s">
        <v>859</v>
      </c>
      <c r="F8">
        <v>27.35</v>
      </c>
    </row>
    <row r="9" spans="1:6" x14ac:dyDescent="0.3">
      <c r="E9" s="90" t="s">
        <v>122</v>
      </c>
      <c r="F9">
        <v>581.44000000000005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9"/>
  <sheetViews>
    <sheetView workbookViewId="0">
      <selection activeCell="F17" sqref="F17"/>
    </sheetView>
  </sheetViews>
  <sheetFormatPr defaultRowHeight="14.4" x14ac:dyDescent="0.3"/>
  <cols>
    <col min="1" max="1" width="27.21875" customWidth="1"/>
    <col min="2" max="2" width="20.77734375" customWidth="1"/>
    <col min="5" max="5" width="29.77734375" bestFit="1" customWidth="1"/>
    <col min="6" max="6" width="11.44140625" bestFit="1" customWidth="1"/>
  </cols>
  <sheetData>
    <row r="1" spans="1:6" ht="43.2" x14ac:dyDescent="0.3">
      <c r="A1" s="27" t="s">
        <v>1482</v>
      </c>
      <c r="B1" s="28" t="s">
        <v>1483</v>
      </c>
      <c r="C1" s="29" t="s">
        <v>1484</v>
      </c>
    </row>
    <row r="2" spans="1:6" x14ac:dyDescent="0.3">
      <c r="A2" s="20" t="s">
        <v>1486</v>
      </c>
      <c r="B2" s="32">
        <v>0</v>
      </c>
      <c r="C2" s="1" t="s">
        <v>874</v>
      </c>
      <c r="E2" s="89" t="s">
        <v>68</v>
      </c>
      <c r="F2" t="s">
        <v>1485</v>
      </c>
    </row>
    <row r="3" spans="1:6" x14ac:dyDescent="0.3">
      <c r="A3" s="20" t="s">
        <v>1407</v>
      </c>
      <c r="B3" s="32">
        <v>33.6</v>
      </c>
      <c r="C3" s="1" t="s">
        <v>874</v>
      </c>
      <c r="E3" s="90" t="s">
        <v>874</v>
      </c>
    </row>
    <row r="4" spans="1:6" x14ac:dyDescent="0.3">
      <c r="A4" s="20" t="s">
        <v>1408</v>
      </c>
      <c r="B4" s="32">
        <v>24.4</v>
      </c>
      <c r="C4" s="1" t="s">
        <v>874</v>
      </c>
      <c r="E4" s="99" t="s">
        <v>1404</v>
      </c>
      <c r="F4">
        <v>182.5</v>
      </c>
    </row>
    <row r="5" spans="1:6" x14ac:dyDescent="0.3">
      <c r="A5" s="20" t="s">
        <v>1404</v>
      </c>
      <c r="B5" s="32">
        <v>182.5</v>
      </c>
      <c r="C5" s="1" t="s">
        <v>874</v>
      </c>
      <c r="E5" s="99" t="s">
        <v>1408</v>
      </c>
      <c r="F5">
        <v>24.4</v>
      </c>
    </row>
    <row r="6" spans="1:6" x14ac:dyDescent="0.3">
      <c r="A6" s="20" t="s">
        <v>859</v>
      </c>
      <c r="B6" s="32">
        <v>114.8</v>
      </c>
      <c r="C6" s="1" t="s">
        <v>874</v>
      </c>
      <c r="E6" s="99" t="s">
        <v>1407</v>
      </c>
      <c r="F6">
        <v>33.6</v>
      </c>
    </row>
    <row r="7" spans="1:6" x14ac:dyDescent="0.3">
      <c r="E7" s="99" t="s">
        <v>1486</v>
      </c>
      <c r="F7">
        <v>0</v>
      </c>
    </row>
    <row r="8" spans="1:6" x14ac:dyDescent="0.3">
      <c r="E8" s="99" t="s">
        <v>859</v>
      </c>
      <c r="F8">
        <v>114.8</v>
      </c>
    </row>
    <row r="9" spans="1:6" x14ac:dyDescent="0.3">
      <c r="E9" s="90" t="s">
        <v>122</v>
      </c>
      <c r="F9">
        <v>355.3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25"/>
  <sheetViews>
    <sheetView topLeftCell="A85" workbookViewId="0">
      <selection activeCell="H105" sqref="H105"/>
    </sheetView>
  </sheetViews>
  <sheetFormatPr defaultRowHeight="14.4" x14ac:dyDescent="0.3"/>
  <cols>
    <col min="1" max="1" width="20.5546875" customWidth="1"/>
    <col min="2" max="2" width="14.21875" customWidth="1"/>
    <col min="3" max="3" width="52.5546875" customWidth="1"/>
    <col min="4" max="4" width="18.77734375" customWidth="1"/>
    <col min="5" max="6" width="15.21875" customWidth="1"/>
    <col min="7" max="7" width="15.21875" hidden="1" customWidth="1"/>
    <col min="8" max="8" width="12.77734375" customWidth="1"/>
    <col min="9" max="9" width="13.77734375" customWidth="1"/>
    <col min="11" max="11" width="11" customWidth="1"/>
    <col min="14" max="14" width="0" hidden="1" customWidth="1"/>
  </cols>
  <sheetData>
    <row r="1" spans="1:14" ht="43.2" x14ac:dyDescent="0.3">
      <c r="A1" s="100" t="s">
        <v>6</v>
      </c>
      <c r="B1" s="100" t="s">
        <v>7</v>
      </c>
      <c r="C1" s="100" t="s">
        <v>8</v>
      </c>
      <c r="D1" s="100" t="s">
        <v>9</v>
      </c>
      <c r="E1" s="100" t="s">
        <v>10</v>
      </c>
      <c r="F1" s="100" t="s">
        <v>11</v>
      </c>
      <c r="G1" s="100" t="s">
        <v>12</v>
      </c>
      <c r="H1" s="100" t="s">
        <v>13</v>
      </c>
      <c r="I1" s="100" t="s">
        <v>14</v>
      </c>
      <c r="N1" t="s">
        <v>15</v>
      </c>
    </row>
    <row r="2" spans="1:14" x14ac:dyDescent="0.3">
      <c r="A2" s="2" t="s">
        <v>16</v>
      </c>
      <c r="B2" s="2" t="s">
        <v>17</v>
      </c>
      <c r="C2" s="103" t="str">
        <f>'Místn. FAPPZ_A'!L404</f>
        <v>Chodby, schodiště a ostatní</v>
      </c>
      <c r="D2" s="2" t="s">
        <v>18</v>
      </c>
      <c r="E2" s="2">
        <f>GETPIVOTDATA("plocha (m2)",'Místn. FAPPZ_A'!$L$402,"Využití místnosti(reálné)","Chodby, schodiště a ostatní","Navrhovaná četnost","1xM")</f>
        <v>247.3</v>
      </c>
      <c r="F2" s="1" t="str">
        <f>'Místn. FAPPZ_A'!L403</f>
        <v>1xM</v>
      </c>
      <c r="G2" s="2">
        <f>E2</f>
        <v>247.3</v>
      </c>
      <c r="H2" s="102"/>
      <c r="I2" s="138">
        <f>E2*H2*21.25</f>
        <v>0</v>
      </c>
    </row>
    <row r="3" spans="1:14" x14ac:dyDescent="0.3">
      <c r="A3" s="2" t="s">
        <v>16</v>
      </c>
      <c r="B3" s="2" t="s">
        <v>17</v>
      </c>
      <c r="C3" s="103" t="str">
        <f>'Místn. FAPPZ_A'!L406</f>
        <v>Laboratoře</v>
      </c>
      <c r="D3" s="2" t="s">
        <v>18</v>
      </c>
      <c r="E3" s="2">
        <f>GETPIVOTDATA("plocha (m2)",'Místn. FAPPZ_A'!$L$402,"Využití místnosti(reálné)","Laboratoře","Navrhovaná četnost","1xT")</f>
        <v>17.100000000000001</v>
      </c>
      <c r="F3" s="1" t="str">
        <f>'Místn. FAPPZ_A'!L405</f>
        <v>1xT</v>
      </c>
      <c r="G3" s="2">
        <f t="shared" ref="G3:G10" si="0">E3</f>
        <v>17.100000000000001</v>
      </c>
      <c r="H3" s="102"/>
      <c r="I3" s="138">
        <f t="shared" ref="I3:I66" si="1">E3*H3*21.25</f>
        <v>0</v>
      </c>
    </row>
    <row r="4" spans="1:14" x14ac:dyDescent="0.3">
      <c r="A4" s="2" t="s">
        <v>16</v>
      </c>
      <c r="B4" s="2" t="s">
        <v>17</v>
      </c>
      <c r="C4" s="103" t="str">
        <f>'Místn. FAPPZ_A'!L408</f>
        <v>Chodby, schodiště a ostatní</v>
      </c>
      <c r="D4" s="2" t="s">
        <v>18</v>
      </c>
      <c r="E4" s="2">
        <f>GETPIVOTDATA("plocha (m2)",'Místn. FAPPZ_A'!$L$402,"Využití místnosti(reálné)","Chodby, schodiště a ostatní","Navrhovaná četnost","3xT")</f>
        <v>78.5</v>
      </c>
      <c r="F4" s="1" t="str">
        <f>'Místn. FAPPZ_A'!L407</f>
        <v>3xT</v>
      </c>
      <c r="G4" s="2">
        <f t="shared" si="0"/>
        <v>78.5</v>
      </c>
      <c r="H4" s="102"/>
      <c r="I4" s="138">
        <f t="shared" si="1"/>
        <v>0</v>
      </c>
    </row>
    <row r="5" spans="1:14" x14ac:dyDescent="0.3">
      <c r="A5" s="2" t="s">
        <v>16</v>
      </c>
      <c r="B5" s="2" t="s">
        <v>17</v>
      </c>
      <c r="C5" s="103" t="str">
        <f>'Místn. FAPPZ_A'!L409</f>
        <v>kancelář</v>
      </c>
      <c r="D5" s="2" t="s">
        <v>18</v>
      </c>
      <c r="E5" s="2">
        <f>GETPIVOTDATA("plocha (m2)",'Místn. FAPPZ_A'!$L$402,"Využití místnosti(reálné)","kancelář","Navrhovaná četnost","3xT")</f>
        <v>62.22</v>
      </c>
      <c r="F5" s="1" t="str">
        <f>'Místn. FAPPZ_A'!L407</f>
        <v>3xT</v>
      </c>
      <c r="G5" s="2">
        <f t="shared" si="0"/>
        <v>62.22</v>
      </c>
      <c r="H5" s="102"/>
      <c r="I5" s="138">
        <f t="shared" si="1"/>
        <v>0</v>
      </c>
    </row>
    <row r="6" spans="1:14" x14ac:dyDescent="0.3">
      <c r="A6" s="2" t="s">
        <v>16</v>
      </c>
      <c r="B6" s="2" t="s">
        <v>17</v>
      </c>
      <c r="C6" s="103" t="str">
        <f>'Místn. FAPPZ_A'!L410</f>
        <v>Laboratoře</v>
      </c>
      <c r="D6" s="2" t="s">
        <v>18</v>
      </c>
      <c r="E6" s="2">
        <f>GETPIVOTDATA("plocha (m2)",'Místn. FAPPZ_A'!$L$402,"Využití místnosti(reálné)","Laboratoře","Navrhovaná četnost","3xT")</f>
        <v>388.57999999999993</v>
      </c>
      <c r="F6" s="1" t="str">
        <f>'Místn. FAPPZ_A'!L407</f>
        <v>3xT</v>
      </c>
      <c r="G6" s="2">
        <f t="shared" si="0"/>
        <v>388.57999999999993</v>
      </c>
      <c r="H6" s="102"/>
      <c r="I6" s="138">
        <f t="shared" si="1"/>
        <v>0</v>
      </c>
    </row>
    <row r="7" spans="1:14" x14ac:dyDescent="0.3">
      <c r="A7" s="2" t="s">
        <v>16</v>
      </c>
      <c r="B7" s="2" t="s">
        <v>17</v>
      </c>
      <c r="C7" s="101" t="str">
        <f>'Místn. FAPPZ_A'!L412</f>
        <v xml:space="preserve"> Sociální zařízení </v>
      </c>
      <c r="D7" s="2" t="s">
        <v>18</v>
      </c>
      <c r="E7" s="2">
        <f>GETPIVOTDATA("plocha (m2)",'Místn. FAPPZ_A'!$L$402,"Využití místnosti(reálné)"," Sociální zařízení ","Navrhovaná četnost","5xT")</f>
        <v>3.8</v>
      </c>
      <c r="F7" s="1" t="str">
        <f>'Místn. FAPPZ_A'!L411</f>
        <v>5xT</v>
      </c>
      <c r="G7" s="2">
        <f t="shared" si="0"/>
        <v>3.8</v>
      </c>
      <c r="H7" s="102"/>
      <c r="I7" s="138">
        <f t="shared" si="1"/>
        <v>0</v>
      </c>
    </row>
    <row r="8" spans="1:14" x14ac:dyDescent="0.3">
      <c r="A8" s="2" t="s">
        <v>16</v>
      </c>
      <c r="B8" s="2" t="s">
        <v>17</v>
      </c>
      <c r="C8" s="2" t="str">
        <f>'Místn. FAPPZ_A'!L413</f>
        <v>Chodby, schodiště a ostatní</v>
      </c>
      <c r="D8" s="2" t="s">
        <v>18</v>
      </c>
      <c r="E8" s="2">
        <f>GETPIVOTDATA("plocha (m2)",'Místn. FAPPZ_A'!$L$402,"Využití místnosti(reálné)","Chodby, schodiště a ostatní","Navrhovaná četnost","5xT")</f>
        <v>437.86</v>
      </c>
      <c r="F8" s="1" t="str">
        <f>'Místn. FAPPZ_A'!L411</f>
        <v>5xT</v>
      </c>
      <c r="G8" s="2">
        <f t="shared" si="0"/>
        <v>437.86</v>
      </c>
      <c r="H8" s="102"/>
      <c r="I8" s="138">
        <f t="shared" si="1"/>
        <v>0</v>
      </c>
    </row>
    <row r="9" spans="1:14" x14ac:dyDescent="0.3">
      <c r="A9" s="2" t="s">
        <v>16</v>
      </c>
      <c r="B9" s="2" t="s">
        <v>17</v>
      </c>
      <c r="C9" s="2" t="str">
        <f>'Místn. FAPPZ_A'!L414</f>
        <v>Laboratoře</v>
      </c>
      <c r="D9" s="2" t="s">
        <v>18</v>
      </c>
      <c r="E9" s="2">
        <f>GETPIVOTDATA("plocha (m2)",'Místn. FAPPZ_A'!$L$402,"Využití místnosti(reálné)","Laboratoře","Navrhovaná četnost","5xT")</f>
        <v>350.69999999999993</v>
      </c>
      <c r="F9" s="1" t="str">
        <f>'Místn. FAPPZ_A'!L411</f>
        <v>5xT</v>
      </c>
      <c r="G9" s="2">
        <f t="shared" si="0"/>
        <v>350.69999999999993</v>
      </c>
      <c r="H9" s="102"/>
      <c r="I9" s="138">
        <f t="shared" si="1"/>
        <v>0</v>
      </c>
    </row>
    <row r="10" spans="1:14" x14ac:dyDescent="0.3">
      <c r="A10" s="2" t="s">
        <v>16</v>
      </c>
      <c r="B10" s="2" t="s">
        <v>17</v>
      </c>
      <c r="C10" s="2" t="str">
        <f>'Místn. FAPPZ_A'!L415</f>
        <v>výtah</v>
      </c>
      <c r="D10" s="2" t="s">
        <v>18</v>
      </c>
      <c r="E10" s="2">
        <f>GETPIVOTDATA("plocha (m2)",'Místn. FAPPZ_A'!$L$402,"Využití místnosti(reálné)","výtah","Navrhovaná četnost","5xT")</f>
        <v>4.05</v>
      </c>
      <c r="F10" s="1" t="str">
        <f>'Místn. FAPPZ_A'!L411</f>
        <v>5xT</v>
      </c>
      <c r="G10" s="2">
        <f t="shared" si="0"/>
        <v>4.05</v>
      </c>
      <c r="H10" s="102"/>
      <c r="I10" s="138">
        <f t="shared" si="1"/>
        <v>0</v>
      </c>
      <c r="N10">
        <f>SUM(E2:E10)</f>
        <v>1590.11</v>
      </c>
    </row>
    <row r="11" spans="1:14" x14ac:dyDescent="0.3">
      <c r="A11" s="2" t="s">
        <v>16</v>
      </c>
      <c r="B11" s="2" t="s">
        <v>19</v>
      </c>
      <c r="C11" s="2" t="str">
        <f>'Místn. FAPPZ_A'!L296</f>
        <v>Chodby, schodiště a ostatní</v>
      </c>
      <c r="D11" s="2" t="s">
        <v>18</v>
      </c>
      <c r="E11" s="2">
        <f>GETPIVOTDATA("plocha (m2)",'Místn. FAPPZ_A'!$L$294,"Využití místnosti(reálné)","Chodby, schodiště a ostatní","Navrhovaná četnost","1xM")</f>
        <v>184.4</v>
      </c>
      <c r="F11" s="1" t="str">
        <f>'Místn. FAPPZ_A'!L295</f>
        <v>1xM</v>
      </c>
      <c r="G11" s="2">
        <f>E11</f>
        <v>184.4</v>
      </c>
      <c r="H11" s="102"/>
      <c r="I11" s="138">
        <f t="shared" si="1"/>
        <v>0</v>
      </c>
    </row>
    <row r="12" spans="1:14" x14ac:dyDescent="0.3">
      <c r="A12" s="2" t="s">
        <v>16</v>
      </c>
      <c r="B12" s="2" t="s">
        <v>19</v>
      </c>
      <c r="C12" s="2" t="str">
        <f>'Místn. FAPPZ_A'!L297</f>
        <v>Laboratoře</v>
      </c>
      <c r="D12" s="2" t="s">
        <v>18</v>
      </c>
      <c r="E12" s="2">
        <f>GETPIVOTDATA("plocha (m2)",'Místn. FAPPZ_A'!$L$294,"Využití místnosti(reálné)","Laboratoře","Navrhovaná četnost","1xM")</f>
        <v>11.7</v>
      </c>
      <c r="F12" s="1" t="str">
        <f>'Místn. FAPPZ_A'!L295</f>
        <v>1xM</v>
      </c>
      <c r="G12" s="2">
        <f t="shared" ref="G12:G14" si="2">E12</f>
        <v>11.7</v>
      </c>
      <c r="H12" s="102"/>
      <c r="I12" s="138">
        <f t="shared" si="1"/>
        <v>0</v>
      </c>
    </row>
    <row r="13" spans="1:14" x14ac:dyDescent="0.3">
      <c r="A13" s="2" t="s">
        <v>16</v>
      </c>
      <c r="B13" s="2" t="s">
        <v>19</v>
      </c>
      <c r="C13" s="2" t="str">
        <f>'Místn. FAPPZ_A'!L299</f>
        <v>Kancelář</v>
      </c>
      <c r="D13" s="2" t="s">
        <v>18</v>
      </c>
      <c r="E13" s="2">
        <f>GETPIVOTDATA("plocha (m2)",'Místn. FAPPZ_A'!$L$294,"Využití místnosti(reálné)","Kancelář","Navrhovaná četnost","3xT")</f>
        <v>356.4</v>
      </c>
      <c r="F13" s="1" t="str">
        <f>'Místn. FAPPZ_A'!L298</f>
        <v>3xT</v>
      </c>
      <c r="G13" s="2">
        <f t="shared" si="2"/>
        <v>356.4</v>
      </c>
      <c r="H13" s="102"/>
      <c r="I13" s="138">
        <f t="shared" si="1"/>
        <v>0</v>
      </c>
    </row>
    <row r="14" spans="1:14" x14ac:dyDescent="0.3">
      <c r="A14" s="2" t="s">
        <v>16</v>
      </c>
      <c r="B14" s="2" t="s">
        <v>19</v>
      </c>
      <c r="C14" s="2" t="str">
        <f>'Místn. FAPPZ_A'!L300</f>
        <v>Laboratoře</v>
      </c>
      <c r="D14" s="2" t="s">
        <v>18</v>
      </c>
      <c r="E14" s="2">
        <f>GETPIVOTDATA("plocha (m2)",'Místn. FAPPZ_A'!$L$294,"Využití místnosti(reálné)","Laboratoře","Navrhovaná četnost","3xT")</f>
        <v>11.8</v>
      </c>
      <c r="F14" s="1" t="str">
        <f>'Místn. FAPPZ_A'!L298</f>
        <v>3xT</v>
      </c>
      <c r="G14" s="2">
        <f t="shared" si="2"/>
        <v>11.8</v>
      </c>
      <c r="H14" s="102"/>
      <c r="I14" s="138">
        <f t="shared" si="1"/>
        <v>0</v>
      </c>
    </row>
    <row r="15" spans="1:14" x14ac:dyDescent="0.3">
      <c r="A15" s="2" t="s">
        <v>16</v>
      </c>
      <c r="B15" s="2" t="s">
        <v>19</v>
      </c>
      <c r="C15" s="2" t="str">
        <f>'Místn. FAPPZ_A'!L302</f>
        <v xml:space="preserve"> Sociální zařízení </v>
      </c>
      <c r="D15" s="2" t="s">
        <v>18</v>
      </c>
      <c r="E15" s="2">
        <f>GETPIVOTDATA("plocha (m2)",'Místn. FAPPZ_A'!$L$294,"Využití místnosti(reálné)"," Sociální zařízení ","Navrhovaná četnost","5xT")</f>
        <v>109.5</v>
      </c>
      <c r="F15" s="1" t="str">
        <f>'Místn. FAPPZ_A'!L301</f>
        <v>5xT</v>
      </c>
      <c r="G15" s="2">
        <f>E15</f>
        <v>109.5</v>
      </c>
      <c r="H15" s="102"/>
      <c r="I15" s="138">
        <f t="shared" si="1"/>
        <v>0</v>
      </c>
    </row>
    <row r="16" spans="1:14" x14ac:dyDescent="0.3">
      <c r="A16" s="2" t="s">
        <v>16</v>
      </c>
      <c r="B16" s="2" t="s">
        <v>19</v>
      </c>
      <c r="C16" s="2" t="str">
        <f>'Místn. FAPPZ_A'!L303</f>
        <v>Chodby, schodiště a ostatní</v>
      </c>
      <c r="D16" s="2" t="s">
        <v>18</v>
      </c>
      <c r="E16" s="2">
        <f>GETPIVOTDATA("plocha (m2)",'Místn. FAPPZ_A'!$L$294,"Využití místnosti(reálné)","Chodby, schodiště a ostatní","Navrhovaná četnost","5xT")</f>
        <v>846</v>
      </c>
      <c r="F16" s="1" t="str">
        <f>'Místn. FAPPZ_A'!L301</f>
        <v>5xT</v>
      </c>
      <c r="G16" s="2">
        <f t="shared" ref="G16:G27" si="3">E16</f>
        <v>846</v>
      </c>
      <c r="H16" s="102"/>
      <c r="I16" s="138">
        <f t="shared" si="1"/>
        <v>0</v>
      </c>
    </row>
    <row r="17" spans="1:14" x14ac:dyDescent="0.3">
      <c r="A17" s="2" t="s">
        <v>16</v>
      </c>
      <c r="B17" s="2" t="s">
        <v>19</v>
      </c>
      <c r="C17" s="2" t="str">
        <f>'Místn. FAPPZ_A'!L304</f>
        <v>Kancelář</v>
      </c>
      <c r="D17" s="2" t="s">
        <v>18</v>
      </c>
      <c r="E17" s="2">
        <f>GETPIVOTDATA("plocha (m2)",'Místn. FAPPZ_A'!$L$294,"Využití místnosti(reálné)","Kancelář","Navrhovaná četnost","5xT")</f>
        <v>23.7</v>
      </c>
      <c r="F17" s="1" t="str">
        <f>'Místn. FAPPZ_A'!L301</f>
        <v>5xT</v>
      </c>
      <c r="G17" s="2">
        <f t="shared" si="3"/>
        <v>23.7</v>
      </c>
      <c r="H17" s="102"/>
      <c r="I17" s="138">
        <f t="shared" si="1"/>
        <v>0</v>
      </c>
    </row>
    <row r="18" spans="1:14" x14ac:dyDescent="0.3">
      <c r="A18" s="2" t="s">
        <v>16</v>
      </c>
      <c r="B18" s="2" t="s">
        <v>19</v>
      </c>
      <c r="C18" s="2" t="str">
        <f>'Místn. FAPPZ_A'!L305</f>
        <v>Laboratoře</v>
      </c>
      <c r="D18" s="2" t="s">
        <v>18</v>
      </c>
      <c r="E18" s="2">
        <f>GETPIVOTDATA("plocha (m2)",'Místn. FAPPZ_A'!$L$294,"Využití místnosti(reálné)","Laboratoře","Navrhovaná četnost","5xT")</f>
        <v>500.80000000000013</v>
      </c>
      <c r="F18" s="1" t="str">
        <f>'Místn. FAPPZ_A'!L301</f>
        <v>5xT</v>
      </c>
      <c r="G18" s="2">
        <f t="shared" si="3"/>
        <v>500.80000000000013</v>
      </c>
      <c r="H18" s="102"/>
      <c r="I18" s="138">
        <f t="shared" si="1"/>
        <v>0</v>
      </c>
    </row>
    <row r="19" spans="1:14" x14ac:dyDescent="0.3">
      <c r="A19" s="2" t="s">
        <v>16</v>
      </c>
      <c r="B19" s="2" t="s">
        <v>19</v>
      </c>
      <c r="C19" s="2" t="str">
        <f>'Místn. FAPPZ_A'!L306</f>
        <v>Posluchárna</v>
      </c>
      <c r="D19" s="2" t="s">
        <v>18</v>
      </c>
      <c r="E19" s="2">
        <f>GETPIVOTDATA("plocha (m2)",'Místn. FAPPZ_A'!$L$294,"Využití místnosti(reálné)","Posluchárna","Navrhovaná četnost","5xT")</f>
        <v>1050.9000000000001</v>
      </c>
      <c r="F19" s="1" t="str">
        <f>'Místn. FAPPZ_A'!L301</f>
        <v>5xT</v>
      </c>
      <c r="G19" s="2">
        <f t="shared" si="3"/>
        <v>1050.9000000000001</v>
      </c>
      <c r="H19" s="102"/>
      <c r="I19" s="138">
        <f t="shared" si="1"/>
        <v>0</v>
      </c>
    </row>
    <row r="20" spans="1:14" hidden="1" x14ac:dyDescent="0.3">
      <c r="A20" s="2" t="s">
        <v>16</v>
      </c>
      <c r="B20" s="2" t="s">
        <v>19</v>
      </c>
      <c r="C20" s="2" t="str">
        <f>'Místn. FAPPZ_A'!L307</f>
        <v>výtah</v>
      </c>
      <c r="D20" s="2" t="s">
        <v>18</v>
      </c>
      <c r="E20" s="2">
        <f>GETPIVOTDATA("plocha (m2)",'Místn. FAPPZ_A'!$L$294,"Využití místnosti(reálné)","výtah","Navrhovaná četnost","5xT")</f>
        <v>4.05</v>
      </c>
      <c r="F20" s="1" t="str">
        <f>'Místn. FAPPZ_A'!L301</f>
        <v>5xT</v>
      </c>
      <c r="G20" s="2">
        <v>0</v>
      </c>
      <c r="H20" s="102"/>
      <c r="I20" s="138">
        <f t="shared" si="1"/>
        <v>0</v>
      </c>
      <c r="N20">
        <f>SUM(E10:E19)</f>
        <v>3099.25</v>
      </c>
    </row>
    <row r="21" spans="1:14" x14ac:dyDescent="0.3">
      <c r="A21" s="2" t="s">
        <v>16</v>
      </c>
      <c r="B21" s="92" t="s">
        <v>20</v>
      </c>
      <c r="C21" s="2" t="str">
        <f>'Místn. FAPPZ_A'!L232</f>
        <v>Archiv</v>
      </c>
      <c r="D21" s="2" t="s">
        <v>18</v>
      </c>
      <c r="E21" s="2">
        <f>GETPIVOTDATA("plocha (m2)",'Místn. FAPPZ_A'!$L$221,"Využití místnosti(reálné)","Archiv","Navrhovaná četnost","1xT")</f>
        <v>65.5</v>
      </c>
      <c r="F21" s="1" t="str">
        <f>'Místn. FAPPZ_A'!L231</f>
        <v>1xT</v>
      </c>
      <c r="G21" s="2">
        <f t="shared" si="3"/>
        <v>65.5</v>
      </c>
      <c r="H21" s="102"/>
      <c r="I21" s="138">
        <f t="shared" si="1"/>
        <v>0</v>
      </c>
    </row>
    <row r="22" spans="1:14" x14ac:dyDescent="0.3">
      <c r="A22" s="2" t="s">
        <v>16</v>
      </c>
      <c r="B22" s="92" t="s">
        <v>20</v>
      </c>
      <c r="C22" s="2" t="str">
        <f>'Místn. FAPPZ_A'!L223</f>
        <v>Chodby, schodiště a ostatní</v>
      </c>
      <c r="D22" s="2" t="s">
        <v>18</v>
      </c>
      <c r="E22" s="2">
        <f>GETPIVOTDATA("plocha (m2)",'Místn. FAPPZ_A'!$L$221,"Využití místnosti(reálné)","Chodby, schodiště a ostatní","Navrhovaná četnost","3xT")</f>
        <v>2.6</v>
      </c>
      <c r="F22" s="1" t="str">
        <f>'Místn. FAPPZ_A'!L222</f>
        <v>3xT</v>
      </c>
      <c r="G22" s="2">
        <f t="shared" si="3"/>
        <v>2.6</v>
      </c>
      <c r="H22" s="102"/>
      <c r="I22" s="138">
        <f t="shared" si="1"/>
        <v>0</v>
      </c>
    </row>
    <row r="23" spans="1:14" x14ac:dyDescent="0.3">
      <c r="A23" s="2" t="s">
        <v>16</v>
      </c>
      <c r="B23" s="92" t="s">
        <v>20</v>
      </c>
      <c r="C23" s="2" t="str">
        <f>'Místn. FAPPZ_A'!L224</f>
        <v>Kancelář</v>
      </c>
      <c r="D23" s="2" t="s">
        <v>18</v>
      </c>
      <c r="E23" s="2">
        <f>GETPIVOTDATA("plocha (m2)",'Místn. FAPPZ_A'!$L$221,"Využití místnosti(reálné)","Kancelář","Navrhovaná četnost","3xT")</f>
        <v>625.90000000000009</v>
      </c>
      <c r="F23" s="1" t="str">
        <f>'Místn. FAPPZ_A'!L222</f>
        <v>3xT</v>
      </c>
      <c r="G23" s="2">
        <f t="shared" si="3"/>
        <v>625.90000000000009</v>
      </c>
      <c r="H23" s="102"/>
      <c r="I23" s="138">
        <f t="shared" si="1"/>
        <v>0</v>
      </c>
    </row>
    <row r="24" spans="1:14" x14ac:dyDescent="0.3">
      <c r="A24" s="2" t="s">
        <v>16</v>
      </c>
      <c r="B24" s="92" t="s">
        <v>20</v>
      </c>
      <c r="C24" s="2" t="str">
        <f>'Místn. FAPPZ_A'!L226</f>
        <v xml:space="preserve"> Sociální zařízení </v>
      </c>
      <c r="D24" s="2" t="s">
        <v>18</v>
      </c>
      <c r="E24" s="2">
        <f>GETPIVOTDATA("plocha (m2)",'Místn. FAPPZ_A'!$L$221,"Využití místnosti(reálné)"," Sociální zařízení ","Navrhovaná četnost","5xT")</f>
        <v>47.6</v>
      </c>
      <c r="F24" s="1" t="str">
        <f>'Místn. FAPPZ_A'!L225</f>
        <v>5xT</v>
      </c>
      <c r="G24" s="2">
        <f t="shared" si="3"/>
        <v>47.6</v>
      </c>
      <c r="H24" s="102"/>
      <c r="I24" s="138">
        <f t="shared" si="1"/>
        <v>0</v>
      </c>
    </row>
    <row r="25" spans="1:14" x14ac:dyDescent="0.3">
      <c r="A25" s="2" t="s">
        <v>16</v>
      </c>
      <c r="B25" s="92" t="s">
        <v>20</v>
      </c>
      <c r="C25" s="2" t="str">
        <f>'Místn. FAPPZ_A'!L227</f>
        <v>Chodby, schodiště a ostatní</v>
      </c>
      <c r="D25" s="2" t="s">
        <v>18</v>
      </c>
      <c r="E25" s="2">
        <f>GETPIVOTDATA("plocha (m2)",'Místn. FAPPZ_A'!$L$221,"Využití místnosti(reálné)","Chodby, schodiště a ostatní","Navrhovaná četnost","5xT")</f>
        <v>433.4</v>
      </c>
      <c r="F25" s="1" t="str">
        <f>'Místn. FAPPZ_A'!L225</f>
        <v>5xT</v>
      </c>
      <c r="G25" s="2">
        <f t="shared" si="3"/>
        <v>433.4</v>
      </c>
      <c r="H25" s="102"/>
      <c r="I25" s="138">
        <f t="shared" si="1"/>
        <v>0</v>
      </c>
    </row>
    <row r="26" spans="1:14" x14ac:dyDescent="0.3">
      <c r="A26" s="2" t="s">
        <v>16</v>
      </c>
      <c r="B26" s="92" t="s">
        <v>20</v>
      </c>
      <c r="C26" s="2" t="str">
        <f>'Místn. FAPPZ_A'!L228</f>
        <v>Laboratoře</v>
      </c>
      <c r="D26" s="2" t="s">
        <v>18</v>
      </c>
      <c r="E26" s="2">
        <f>GETPIVOTDATA("plocha (m2)",'Místn. FAPPZ_A'!$L$221,"Využití místnosti(reálné)","Laboratoře","Navrhovaná četnost","5xT")</f>
        <v>212.90000000000003</v>
      </c>
      <c r="F26" s="1" t="str">
        <f>'Místn. FAPPZ_A'!L225</f>
        <v>5xT</v>
      </c>
      <c r="G26" s="2">
        <f t="shared" si="3"/>
        <v>212.90000000000003</v>
      </c>
      <c r="H26" s="102"/>
      <c r="I26" s="138">
        <f t="shared" si="1"/>
        <v>0</v>
      </c>
    </row>
    <row r="27" spans="1:14" x14ac:dyDescent="0.3">
      <c r="A27" s="2" t="s">
        <v>16</v>
      </c>
      <c r="B27" s="92" t="s">
        <v>20</v>
      </c>
      <c r="C27" s="2" t="str">
        <f>'Místn. FAPPZ_A'!L229</f>
        <v>Posluchárna</v>
      </c>
      <c r="D27" s="2" t="s">
        <v>18</v>
      </c>
      <c r="E27" s="2">
        <f>GETPIVOTDATA("plocha (m2)",'Místn. FAPPZ_A'!$L$221,"Využití místnosti(reálné)","Posluchárna","Navrhovaná četnost","5xT")</f>
        <v>178</v>
      </c>
      <c r="F27" s="1" t="str">
        <f>'Místn. FAPPZ_A'!L225</f>
        <v>5xT</v>
      </c>
      <c r="G27" s="2">
        <f t="shared" si="3"/>
        <v>178</v>
      </c>
      <c r="H27" s="102"/>
      <c r="I27" s="138">
        <f t="shared" si="1"/>
        <v>0</v>
      </c>
    </row>
    <row r="28" spans="1:14" hidden="1" x14ac:dyDescent="0.3">
      <c r="A28" s="2" t="s">
        <v>16</v>
      </c>
      <c r="B28" s="92" t="s">
        <v>20</v>
      </c>
      <c r="C28" s="2" t="str">
        <f>'Místn. FAPPZ_A'!L230</f>
        <v>výtah</v>
      </c>
      <c r="D28" s="2" t="s">
        <v>18</v>
      </c>
      <c r="E28" s="2">
        <f>GETPIVOTDATA("plocha (m2)",'Místn. FAPPZ_A'!$L$221,"Využití místnosti(reálné)","výtah","Navrhovaná četnost","5xT")</f>
        <v>4.05</v>
      </c>
      <c r="F28" s="1" t="str">
        <f>'Místn. FAPPZ_A'!L225</f>
        <v>5xT</v>
      </c>
      <c r="G28" s="2">
        <v>0</v>
      </c>
      <c r="H28" s="102"/>
      <c r="I28" s="138">
        <f t="shared" si="1"/>
        <v>0</v>
      </c>
      <c r="N28">
        <f>SUM(E21:E28)</f>
        <v>1569.95</v>
      </c>
    </row>
    <row r="29" spans="1:14" x14ac:dyDescent="0.3">
      <c r="A29" s="2" t="s">
        <v>16</v>
      </c>
      <c r="B29" s="2" t="s">
        <v>21</v>
      </c>
      <c r="C29" s="2" t="str">
        <f>'Místn. FAPPZ_A'!L149</f>
        <v>Chodby, schodiště a ostatní</v>
      </c>
      <c r="D29" s="2" t="s">
        <v>18</v>
      </c>
      <c r="E29" s="2">
        <f>GETPIVOTDATA("plocha (m2)",'Místn. FAPPZ_A'!$L$147,"Využití místnosti(reálné)","Chodby, schodiště a ostatní","Navrhovaná četnost","1xM")</f>
        <v>0.8</v>
      </c>
      <c r="F29" s="1" t="str">
        <f>'Místn. FAPPZ_A'!L148</f>
        <v>1xM</v>
      </c>
      <c r="G29" s="2">
        <f t="shared" ref="G29:G55" si="4">E29</f>
        <v>0.8</v>
      </c>
      <c r="H29" s="102"/>
      <c r="I29" s="138">
        <f t="shared" si="1"/>
        <v>0</v>
      </c>
    </row>
    <row r="30" spans="1:14" x14ac:dyDescent="0.3">
      <c r="A30" s="2" t="s">
        <v>16</v>
      </c>
      <c r="B30" s="2" t="s">
        <v>21</v>
      </c>
      <c r="C30" s="2" t="str">
        <f>'Místn. FAPPZ_A'!L151</f>
        <v>Kancelář</v>
      </c>
      <c r="D30" s="2" t="s">
        <v>18</v>
      </c>
      <c r="E30" s="2">
        <f>GETPIVOTDATA("plocha (m2)",'Místn. FAPPZ_A'!$L$147,"Využití místnosti(reálné)","Kancelář","Navrhovaná četnost","3xT")</f>
        <v>438.5</v>
      </c>
      <c r="F30" s="1" t="str">
        <f>'Místn. FAPPZ_A'!L150</f>
        <v>3xT</v>
      </c>
      <c r="G30" s="2">
        <f t="shared" si="4"/>
        <v>438.5</v>
      </c>
      <c r="H30" s="102"/>
      <c r="I30" s="138">
        <f t="shared" si="1"/>
        <v>0</v>
      </c>
    </row>
    <row r="31" spans="1:14" x14ac:dyDescent="0.3">
      <c r="A31" s="2" t="s">
        <v>16</v>
      </c>
      <c r="B31" s="2" t="s">
        <v>21</v>
      </c>
      <c r="C31" s="2" t="str">
        <f>'Místn. FAPPZ_A'!L152</f>
        <v>Laboratoře</v>
      </c>
      <c r="D31" s="2" t="s">
        <v>18</v>
      </c>
      <c r="E31" s="2">
        <f>GETPIVOTDATA("plocha (m2)",'Místn. FAPPZ_A'!$L$147,"Využití místnosti(reálné)","Laboratoře","Navrhovaná četnost","3xT")</f>
        <v>4.6399999999999997</v>
      </c>
      <c r="F31" s="1" t="str">
        <f>'Místn. FAPPZ_A'!L150</f>
        <v>3xT</v>
      </c>
      <c r="G31" s="2">
        <f t="shared" si="4"/>
        <v>4.6399999999999997</v>
      </c>
      <c r="H31" s="102"/>
      <c r="I31" s="138">
        <f t="shared" si="1"/>
        <v>0</v>
      </c>
    </row>
    <row r="32" spans="1:14" x14ac:dyDescent="0.3">
      <c r="A32" s="2" t="s">
        <v>16</v>
      </c>
      <c r="B32" s="2" t="s">
        <v>21</v>
      </c>
      <c r="C32" s="2" t="str">
        <f>'Místn. FAPPZ_A'!L154</f>
        <v xml:space="preserve"> Sociální zařízení </v>
      </c>
      <c r="D32" s="2" t="s">
        <v>18</v>
      </c>
      <c r="E32" s="2">
        <f>GETPIVOTDATA("plocha (m2)",'Místn. FAPPZ_A'!$L$147,"Využití místnosti(reálné)"," Sociální zařízení ","Navrhovaná četnost","5xT")</f>
        <v>47.9</v>
      </c>
      <c r="F32" s="1" t="str">
        <f>'Místn. FAPPZ_A'!L153</f>
        <v>5xT</v>
      </c>
      <c r="G32" s="2">
        <f t="shared" si="4"/>
        <v>47.9</v>
      </c>
      <c r="H32" s="102"/>
      <c r="I32" s="138">
        <f t="shared" si="1"/>
        <v>0</v>
      </c>
    </row>
    <row r="33" spans="1:14" x14ac:dyDescent="0.3">
      <c r="A33" s="2" t="s">
        <v>16</v>
      </c>
      <c r="B33" s="2" t="s">
        <v>21</v>
      </c>
      <c r="C33" s="2" t="str">
        <f>'Místn. FAPPZ_A'!L155</f>
        <v>Chodby, schodiště a ostatní</v>
      </c>
      <c r="D33" s="2" t="s">
        <v>18</v>
      </c>
      <c r="E33" s="2">
        <f>GETPIVOTDATA("plocha (m2)",'Místn. FAPPZ_A'!$L$147,"Využití místnosti(reálné)","Chodby, schodiště a ostatní","Navrhovaná četnost","5xT")</f>
        <v>452.40000000000003</v>
      </c>
      <c r="F33" s="1" t="str">
        <f>'Místn. FAPPZ_A'!L153</f>
        <v>5xT</v>
      </c>
      <c r="G33" s="2">
        <f t="shared" si="4"/>
        <v>452.40000000000003</v>
      </c>
      <c r="H33" s="102"/>
      <c r="I33" s="138">
        <f t="shared" si="1"/>
        <v>0</v>
      </c>
    </row>
    <row r="34" spans="1:14" x14ac:dyDescent="0.3">
      <c r="A34" s="2" t="s">
        <v>16</v>
      </c>
      <c r="B34" s="2" t="s">
        <v>21</v>
      </c>
      <c r="C34" s="2" t="str">
        <f>'Místn. FAPPZ_A'!L156</f>
        <v>Kancelář</v>
      </c>
      <c r="D34" s="2" t="s">
        <v>18</v>
      </c>
      <c r="E34" s="2">
        <f>GETPIVOTDATA("plocha (m2)",'Místn. FAPPZ_A'!$L$147,"Využití místnosti(reálné)","Kancelář","Navrhovaná četnost","5xT")</f>
        <v>10.199999999999999</v>
      </c>
      <c r="F34" s="1" t="str">
        <f>'Místn. FAPPZ_A'!L153</f>
        <v>5xT</v>
      </c>
      <c r="G34" s="2">
        <f t="shared" si="4"/>
        <v>10.199999999999999</v>
      </c>
      <c r="H34" s="102"/>
      <c r="I34" s="138">
        <f t="shared" si="1"/>
        <v>0</v>
      </c>
    </row>
    <row r="35" spans="1:14" x14ac:dyDescent="0.3">
      <c r="A35" s="2" t="s">
        <v>16</v>
      </c>
      <c r="B35" s="2" t="s">
        <v>21</v>
      </c>
      <c r="C35" s="2" t="str">
        <f>'Místn. FAPPZ_A'!L157</f>
        <v>Laboratoře</v>
      </c>
      <c r="D35" s="2" t="s">
        <v>18</v>
      </c>
      <c r="E35" s="2">
        <f>GETPIVOTDATA("plocha (m2)",'Místn. FAPPZ_A'!$L$147,"Využití místnosti(reálné)","Laboratoře","Navrhovaná četnost","5xT")</f>
        <v>412.65999999999997</v>
      </c>
      <c r="F35" s="1" t="str">
        <f>'Místn. FAPPZ_A'!L153</f>
        <v>5xT</v>
      </c>
      <c r="G35" s="2">
        <f t="shared" si="4"/>
        <v>412.65999999999997</v>
      </c>
      <c r="H35" s="102"/>
      <c r="I35" s="138">
        <f t="shared" si="1"/>
        <v>0</v>
      </c>
    </row>
    <row r="36" spans="1:14" x14ac:dyDescent="0.3">
      <c r="A36" s="2" t="s">
        <v>16</v>
      </c>
      <c r="B36" s="2" t="s">
        <v>21</v>
      </c>
      <c r="C36" s="2" t="str">
        <f>'Místn. FAPPZ_A'!L158</f>
        <v>Posluchárna</v>
      </c>
      <c r="D36" s="2" t="s">
        <v>18</v>
      </c>
      <c r="E36" s="2">
        <f>GETPIVOTDATA("plocha (m2)",'Místn. FAPPZ_A'!$L$147,"Využití místnosti(reálné)","Posluchárna","Navrhovaná četnost","5xT")</f>
        <v>200.3</v>
      </c>
      <c r="F36" s="1" t="str">
        <f>'Místn. FAPPZ_A'!L153</f>
        <v>5xT</v>
      </c>
      <c r="G36" s="2">
        <f t="shared" si="4"/>
        <v>200.3</v>
      </c>
      <c r="H36" s="102"/>
      <c r="I36" s="138">
        <f t="shared" si="1"/>
        <v>0</v>
      </c>
    </row>
    <row r="37" spans="1:14" hidden="1" x14ac:dyDescent="0.3">
      <c r="A37" s="2" t="s">
        <v>16</v>
      </c>
      <c r="B37" s="2" t="s">
        <v>21</v>
      </c>
      <c r="C37" s="2" t="str">
        <f>'Místn. FAPPZ_A'!L159</f>
        <v>výtah</v>
      </c>
      <c r="D37" s="2" t="s">
        <v>18</v>
      </c>
      <c r="E37" s="2">
        <f>GETPIVOTDATA("plocha (m2)",'Místn. FAPPZ_A'!$L$147,"Využití místnosti(reálné)","výtah","Navrhovaná četnost","5xT")</f>
        <v>4.05</v>
      </c>
      <c r="F37" s="1" t="str">
        <f>'Místn. FAPPZ_A'!L153</f>
        <v>5xT</v>
      </c>
      <c r="G37" s="2">
        <v>0</v>
      </c>
      <c r="H37" s="102"/>
      <c r="I37" s="138">
        <f t="shared" si="1"/>
        <v>0</v>
      </c>
      <c r="N37">
        <f>SUM(E29:E37)</f>
        <v>1571.4499999999998</v>
      </c>
    </row>
    <row r="38" spans="1:14" x14ac:dyDescent="0.3">
      <c r="A38" s="2" t="s">
        <v>16</v>
      </c>
      <c r="B38" s="2" t="s">
        <v>22</v>
      </c>
      <c r="C38" s="2" t="str">
        <f>'Místn. FAPPZ_A'!L74</f>
        <v>Chodby, schodiště a ostatní</v>
      </c>
      <c r="D38" s="2" t="s">
        <v>18</v>
      </c>
      <c r="E38" s="2">
        <f>GETPIVOTDATA("plocha (m2)",'Místn. FAPPZ_A'!$L$72,"Využití místnosti(reálné)","Chodby, schodiště a ostatní","Navrhovaná četnost","1xM")</f>
        <v>1.6</v>
      </c>
      <c r="F38" s="1" t="str">
        <f>'Místn. FAPPZ_A'!L73</f>
        <v>1xM</v>
      </c>
      <c r="G38" s="2">
        <f t="shared" si="4"/>
        <v>1.6</v>
      </c>
      <c r="H38" s="102"/>
      <c r="I38" s="138">
        <f t="shared" si="1"/>
        <v>0</v>
      </c>
    </row>
    <row r="39" spans="1:14" x14ac:dyDescent="0.3">
      <c r="A39" s="2" t="s">
        <v>16</v>
      </c>
      <c r="B39" s="2" t="s">
        <v>22</v>
      </c>
      <c r="C39" s="2" t="str">
        <f>'Místn. FAPPZ_A'!L76</f>
        <v>Kancelář</v>
      </c>
      <c r="D39" s="2" t="s">
        <v>18</v>
      </c>
      <c r="E39" s="2">
        <f>GETPIVOTDATA("plocha (m2)",'Místn. FAPPZ_A'!$L$72,"Využití místnosti(reálné)","Kancelář","Navrhovaná četnost","3xT")</f>
        <v>341.99999999999994</v>
      </c>
      <c r="F39" s="1" t="str">
        <f>'Místn. FAPPZ_A'!L75</f>
        <v>3xT</v>
      </c>
      <c r="G39" s="2">
        <f t="shared" si="4"/>
        <v>341.99999999999994</v>
      </c>
      <c r="H39" s="102"/>
      <c r="I39" s="138">
        <f t="shared" si="1"/>
        <v>0</v>
      </c>
    </row>
    <row r="40" spans="1:14" x14ac:dyDescent="0.3">
      <c r="A40" s="2" t="s">
        <v>16</v>
      </c>
      <c r="B40" s="2" t="s">
        <v>22</v>
      </c>
      <c r="C40" s="101" t="str">
        <f>'Místn. FAPPZ_A'!L78</f>
        <v xml:space="preserve"> Sociální zařízení </v>
      </c>
      <c r="D40" s="2" t="s">
        <v>18</v>
      </c>
      <c r="E40" s="2">
        <f>GETPIVOTDATA("plocha (m2)",'Místn. FAPPZ_A'!$L$72,"Využití místnosti(reálné)"," Sociální zařízení ","Navrhovaná četnost","5xT")</f>
        <v>47.699999999999996</v>
      </c>
      <c r="F40" s="1" t="str">
        <f>'Místn. FAPPZ_A'!L77</f>
        <v>5xT</v>
      </c>
      <c r="G40" s="2">
        <f t="shared" si="4"/>
        <v>47.699999999999996</v>
      </c>
      <c r="H40" s="102"/>
      <c r="I40" s="138">
        <f t="shared" si="1"/>
        <v>0</v>
      </c>
    </row>
    <row r="41" spans="1:14" x14ac:dyDescent="0.3">
      <c r="A41" s="2" t="s">
        <v>16</v>
      </c>
      <c r="B41" s="2" t="s">
        <v>22</v>
      </c>
      <c r="C41" s="2" t="str">
        <f>'Místn. FAPPZ_A'!L79</f>
        <v>Chodby, schodiště a ostatní</v>
      </c>
      <c r="D41" s="2" t="s">
        <v>18</v>
      </c>
      <c r="E41" s="2">
        <f>GETPIVOTDATA("plocha (m2)",'Místn. FAPPZ_A'!$L$72,"Využití místnosti(reálné)","Chodby, schodiště a ostatní","Navrhovaná četnost","5xT")</f>
        <v>444.90000000000003</v>
      </c>
      <c r="F41" s="1" t="str">
        <f>'Místn. FAPPZ_A'!L77</f>
        <v>5xT</v>
      </c>
      <c r="G41" s="2">
        <f t="shared" si="4"/>
        <v>444.90000000000003</v>
      </c>
      <c r="H41" s="102"/>
      <c r="I41" s="138">
        <f t="shared" si="1"/>
        <v>0</v>
      </c>
    </row>
    <row r="42" spans="1:14" x14ac:dyDescent="0.3">
      <c r="A42" s="2" t="s">
        <v>16</v>
      </c>
      <c r="B42" s="2" t="s">
        <v>22</v>
      </c>
      <c r="C42" s="2" t="str">
        <f>'Místn. FAPPZ_A'!L80</f>
        <v>Laboratoře</v>
      </c>
      <c r="D42" s="2" t="s">
        <v>18</v>
      </c>
      <c r="E42" s="2">
        <f>GETPIVOTDATA("plocha (m2)",'Místn. FAPPZ_A'!$L$72,"Využití místnosti(reálné)","Laboratoře","Navrhovaná četnost","5xT")</f>
        <v>449.59999999999991</v>
      </c>
      <c r="F42" s="1" t="str">
        <f>'Místn. FAPPZ_A'!L77</f>
        <v>5xT</v>
      </c>
      <c r="G42" s="2">
        <f t="shared" si="4"/>
        <v>449.59999999999991</v>
      </c>
      <c r="H42" s="102"/>
      <c r="I42" s="138">
        <f t="shared" si="1"/>
        <v>0</v>
      </c>
    </row>
    <row r="43" spans="1:14" x14ac:dyDescent="0.3">
      <c r="A43" s="2" t="s">
        <v>16</v>
      </c>
      <c r="B43" s="2" t="s">
        <v>22</v>
      </c>
      <c r="C43" s="2" t="str">
        <f>'Místn. FAPPZ_A'!L81</f>
        <v>Posluchárna</v>
      </c>
      <c r="D43" s="2" t="s">
        <v>18</v>
      </c>
      <c r="E43" s="2">
        <f>GETPIVOTDATA("plocha (m2)",'Místn. FAPPZ_A'!$L$72,"Využití místnosti(reálné)","Posluchárna","Navrhovaná četnost","5xT")</f>
        <v>269.45</v>
      </c>
      <c r="F43" s="1" t="str">
        <f>'Místn. FAPPZ_A'!L77</f>
        <v>5xT</v>
      </c>
      <c r="G43" s="2">
        <f t="shared" si="4"/>
        <v>269.45</v>
      </c>
      <c r="H43" s="102"/>
      <c r="I43" s="138">
        <f t="shared" si="1"/>
        <v>0</v>
      </c>
    </row>
    <row r="44" spans="1:14" hidden="1" x14ac:dyDescent="0.3">
      <c r="A44" s="2" t="s">
        <v>16</v>
      </c>
      <c r="B44" s="2" t="s">
        <v>22</v>
      </c>
      <c r="C44" s="2" t="str">
        <f>'Místn. FAPPZ_A'!L82</f>
        <v>výtah</v>
      </c>
      <c r="D44" s="2" t="s">
        <v>18</v>
      </c>
      <c r="E44" s="2">
        <f>GETPIVOTDATA("plocha (m2)",'Místn. FAPPZ_A'!$L$72,"Využití místnosti(reálné)","výtah","Navrhovaná četnost","5xT")</f>
        <v>4.05</v>
      </c>
      <c r="F44" s="1" t="str">
        <f>'Místn. FAPPZ_A'!L77</f>
        <v>5xT</v>
      </c>
      <c r="G44" s="2">
        <v>0</v>
      </c>
      <c r="H44" s="102"/>
      <c r="I44" s="138">
        <f t="shared" si="1"/>
        <v>0</v>
      </c>
      <c r="N44">
        <f>SUM(E38:E44)</f>
        <v>1559.3</v>
      </c>
    </row>
    <row r="45" spans="1:14" x14ac:dyDescent="0.3">
      <c r="A45" s="2" t="s">
        <v>16</v>
      </c>
      <c r="B45" s="2" t="s">
        <v>23</v>
      </c>
      <c r="C45" s="2" t="str">
        <f>'Místn. FAPPZ_A'!L6</f>
        <v>Kancelář</v>
      </c>
      <c r="D45" s="2" t="s">
        <v>18</v>
      </c>
      <c r="E45" s="2">
        <f>GETPIVOTDATA("plocha (m2)",'Místn. FAPPZ_A'!$L$4,"Využití místnosti(reálné)","Kancelář","Navrhovaná četnost","1xM")</f>
        <v>3.5</v>
      </c>
      <c r="F45" s="1" t="str">
        <f>'Místn. FAPPZ_A'!L5</f>
        <v>1xM</v>
      </c>
      <c r="G45" s="2">
        <f t="shared" si="4"/>
        <v>3.5</v>
      </c>
      <c r="H45" s="102"/>
      <c r="I45" s="138">
        <f t="shared" si="1"/>
        <v>0</v>
      </c>
    </row>
    <row r="46" spans="1:14" x14ac:dyDescent="0.3">
      <c r="A46" s="2" t="s">
        <v>16</v>
      </c>
      <c r="B46" s="2" t="s">
        <v>23</v>
      </c>
      <c r="C46" s="2" t="str">
        <f>'Místn. FAPPZ_A'!L8</f>
        <v>Kancelář</v>
      </c>
      <c r="D46" s="2" t="s">
        <v>18</v>
      </c>
      <c r="E46" s="2">
        <f>GETPIVOTDATA("plocha (m2)",'Místn. FAPPZ_A'!$L$4,"Využití místnosti(reálné)","Kancelář","Navrhovaná četnost","3xT")</f>
        <v>215.34999999999997</v>
      </c>
      <c r="F46" s="1" t="str">
        <f>'Místn. FAPPZ_A'!L7</f>
        <v>3xT</v>
      </c>
      <c r="G46" s="2">
        <f t="shared" si="4"/>
        <v>215.34999999999997</v>
      </c>
      <c r="H46" s="102"/>
      <c r="I46" s="138">
        <f t="shared" si="1"/>
        <v>0</v>
      </c>
    </row>
    <row r="47" spans="1:14" x14ac:dyDescent="0.3">
      <c r="A47" s="2" t="s">
        <v>16</v>
      </c>
      <c r="B47" s="2" t="s">
        <v>23</v>
      </c>
      <c r="C47" s="2" t="str">
        <f>'Místn. FAPPZ_A'!L10</f>
        <v xml:space="preserve"> Sociální zařízení </v>
      </c>
      <c r="D47" s="2" t="s">
        <v>18</v>
      </c>
      <c r="E47" s="2">
        <f>GETPIVOTDATA("plocha (m2)",'Místn. FAPPZ_A'!$L$4,"Využití místnosti(reálné)"," Sociální zařízení ","Navrhovaná četnost","5xT")</f>
        <v>47.800000000000004</v>
      </c>
      <c r="F47" s="1" t="str">
        <f>'Místn. FAPPZ_A'!L9</f>
        <v>5xT</v>
      </c>
      <c r="G47" s="2">
        <f t="shared" si="4"/>
        <v>47.800000000000004</v>
      </c>
      <c r="H47" s="102"/>
      <c r="I47" s="138">
        <f t="shared" si="1"/>
        <v>0</v>
      </c>
    </row>
    <row r="48" spans="1:14" x14ac:dyDescent="0.3">
      <c r="A48" s="2" t="s">
        <v>16</v>
      </c>
      <c r="B48" s="2" t="s">
        <v>23</v>
      </c>
      <c r="C48" s="2" t="str">
        <f>'Místn. FAPPZ_A'!L11</f>
        <v>Chodby, schodiště a ostatní</v>
      </c>
      <c r="D48" s="2" t="s">
        <v>18</v>
      </c>
      <c r="E48" s="2">
        <f>GETPIVOTDATA("plocha (m2)",'Místn. FAPPZ_A'!$L$4,"Využití místnosti(reálné)","Chodby, schodiště a ostatní","Navrhovaná četnost","5xT")</f>
        <v>454.20000000000005</v>
      </c>
      <c r="F48" s="1" t="str">
        <f>'Místn. FAPPZ_A'!L9</f>
        <v>5xT</v>
      </c>
      <c r="G48" s="2">
        <f t="shared" si="4"/>
        <v>454.20000000000005</v>
      </c>
      <c r="H48" s="102"/>
      <c r="I48" s="138">
        <f t="shared" si="1"/>
        <v>0</v>
      </c>
    </row>
    <row r="49" spans="1:14" x14ac:dyDescent="0.3">
      <c r="A49" s="2" t="s">
        <v>16</v>
      </c>
      <c r="B49" s="2" t="s">
        <v>23</v>
      </c>
      <c r="C49" s="2" t="str">
        <f>'Místn. FAPPZ_A'!L12</f>
        <v>Kancelář</v>
      </c>
      <c r="D49" s="2" t="s">
        <v>18</v>
      </c>
      <c r="E49" s="2">
        <f>GETPIVOTDATA("plocha (m2)",'Místn. FAPPZ_A'!$L$4,"Využití místnosti(reálné)","Kancelář","Navrhovaná četnost","5xT")</f>
        <v>10.23</v>
      </c>
      <c r="F49" s="1" t="str">
        <f>'Místn. FAPPZ_A'!L9</f>
        <v>5xT</v>
      </c>
      <c r="G49" s="2">
        <f t="shared" si="4"/>
        <v>10.23</v>
      </c>
      <c r="H49" s="102"/>
      <c r="I49" s="138">
        <f t="shared" si="1"/>
        <v>0</v>
      </c>
    </row>
    <row r="50" spans="1:14" x14ac:dyDescent="0.3">
      <c r="A50" s="2" t="s">
        <v>16</v>
      </c>
      <c r="B50" s="2" t="s">
        <v>23</v>
      </c>
      <c r="C50" s="2" t="str">
        <f>'Místn. FAPPZ_A'!L13</f>
        <v>Laboratoře</v>
      </c>
      <c r="D50" s="2" t="s">
        <v>18</v>
      </c>
      <c r="E50" s="2">
        <f>GETPIVOTDATA("plocha (m2)",'Místn. FAPPZ_A'!$L$4,"Využití místnosti(reálné)","Laboratoře","Navrhovaná četnost","5xT")</f>
        <v>474.64000000000004</v>
      </c>
      <c r="F50" s="1" t="str">
        <f>'Místn. FAPPZ_A'!L9</f>
        <v>5xT</v>
      </c>
      <c r="G50" s="2">
        <f t="shared" si="4"/>
        <v>474.64000000000004</v>
      </c>
      <c r="H50" s="102"/>
      <c r="I50" s="138">
        <f t="shared" si="1"/>
        <v>0</v>
      </c>
    </row>
    <row r="51" spans="1:14" x14ac:dyDescent="0.3">
      <c r="A51" s="2" t="s">
        <v>16</v>
      </c>
      <c r="B51" s="2" t="s">
        <v>23</v>
      </c>
      <c r="C51" s="2" t="str">
        <f>'Místn. FAPPZ_A'!L14</f>
        <v>Posluchárna</v>
      </c>
      <c r="D51" s="2" t="s">
        <v>18</v>
      </c>
      <c r="E51" s="2">
        <f>GETPIVOTDATA("plocha (m2)",'Místn. FAPPZ_A'!$L$4,"Využití místnosti(reálné)","Posluchárna","Navrhovaná četnost","5xT")</f>
        <v>345.90000000000003</v>
      </c>
      <c r="F51" s="1" t="str">
        <f>'Místn. FAPPZ_A'!L9</f>
        <v>5xT</v>
      </c>
      <c r="G51" s="2">
        <f t="shared" si="4"/>
        <v>345.90000000000003</v>
      </c>
      <c r="H51" s="102"/>
      <c r="I51" s="138">
        <f t="shared" si="1"/>
        <v>0</v>
      </c>
    </row>
    <row r="52" spans="1:14" hidden="1" x14ac:dyDescent="0.3">
      <c r="A52" s="2" t="s">
        <v>16</v>
      </c>
      <c r="B52" s="2" t="s">
        <v>23</v>
      </c>
      <c r="C52" s="2" t="str">
        <f>'Místn. FAPPZ_A'!L15</f>
        <v>výtah</v>
      </c>
      <c r="D52" s="2" t="s">
        <v>18</v>
      </c>
      <c r="E52" s="2">
        <f>GETPIVOTDATA("plocha (m2)",'Místn. FAPPZ_A'!$L$4,"Využití místnosti(reálné)","výtah","Navrhovaná četnost","5xT")</f>
        <v>4.05</v>
      </c>
      <c r="F52" s="1" t="str">
        <f>'Místn. FAPPZ_A'!L9</f>
        <v>5xT</v>
      </c>
      <c r="G52" s="2">
        <v>0</v>
      </c>
      <c r="H52" s="102"/>
      <c r="I52" s="138">
        <f t="shared" si="1"/>
        <v>0</v>
      </c>
      <c r="N52">
        <f>SUM(E45:E52)</f>
        <v>1555.67</v>
      </c>
    </row>
    <row r="53" spans="1:14" x14ac:dyDescent="0.3">
      <c r="A53" s="2" t="s">
        <v>16</v>
      </c>
      <c r="B53" s="2" t="s">
        <v>24</v>
      </c>
      <c r="C53" s="2" t="str">
        <f>'Místn. FAPPZ_A'!L494</f>
        <v>Chodby, schodiště a ostatní</v>
      </c>
      <c r="D53" s="2" t="s">
        <v>18</v>
      </c>
      <c r="E53" s="2">
        <f>GETPIVOTDATA("plocha (m2)",'Místn. FAPPZ_A'!$L$492,"Využití místnosti(reálné)","Chodby, schodiště a ostatní","četnost","1xM")</f>
        <v>83.3</v>
      </c>
      <c r="F53" s="1" t="str">
        <f>'Místn. FAPPZ_A'!L493</f>
        <v>1xM</v>
      </c>
      <c r="G53" s="2">
        <f t="shared" si="4"/>
        <v>83.3</v>
      </c>
      <c r="H53" s="102"/>
      <c r="I53" s="138">
        <f t="shared" si="1"/>
        <v>0</v>
      </c>
    </row>
    <row r="54" spans="1:14" hidden="1" x14ac:dyDescent="0.3">
      <c r="A54" s="2" t="s">
        <v>16</v>
      </c>
      <c r="B54" s="2" t="s">
        <v>24</v>
      </c>
      <c r="C54" s="2" t="str">
        <f>'Místn. FAPPZ_A'!L495</f>
        <v>Vodafone</v>
      </c>
      <c r="D54" s="2" t="s">
        <v>18</v>
      </c>
      <c r="E54" s="2">
        <f>GETPIVOTDATA("plocha (m2)",'Místn. FAPPZ_A'!$L$492,"Využití místnosti(reálné)","Vodafone","četnost","1xM")</f>
        <v>0</v>
      </c>
      <c r="F54" s="1" t="str">
        <f>'Místn. FAPPZ_A'!L493</f>
        <v>1xM</v>
      </c>
      <c r="G54" s="2">
        <f t="shared" si="4"/>
        <v>0</v>
      </c>
      <c r="H54" s="102"/>
      <c r="I54" s="138">
        <f t="shared" si="1"/>
        <v>0</v>
      </c>
    </row>
    <row r="55" spans="1:14" hidden="1" x14ac:dyDescent="0.3">
      <c r="A55" s="102" t="s">
        <v>16</v>
      </c>
      <c r="B55" s="102" t="s">
        <v>24</v>
      </c>
      <c r="C55" s="102" t="str">
        <f>'Místn. FAPPZ_A'!L496</f>
        <v>střecha</v>
      </c>
      <c r="D55" s="102" t="s">
        <v>18</v>
      </c>
      <c r="E55" s="102">
        <f>GETPIVOTDATA("plocha (m2)",'Místn. FAPPZ_A'!$L$492,"Využití místnosti(reálné)","střecha","četnost","1xM")</f>
        <v>1773.7</v>
      </c>
      <c r="F55" s="104" t="s">
        <v>25</v>
      </c>
      <c r="G55" s="102">
        <f t="shared" si="4"/>
        <v>1773.7</v>
      </c>
      <c r="H55" s="102">
        <v>0</v>
      </c>
      <c r="I55" s="138">
        <f t="shared" si="1"/>
        <v>0</v>
      </c>
      <c r="K55" t="s">
        <v>26</v>
      </c>
      <c r="N55">
        <f>SUM(E53:E55)</f>
        <v>1857</v>
      </c>
    </row>
    <row r="56" spans="1:14" x14ac:dyDescent="0.3">
      <c r="A56" s="2" t="s">
        <v>27</v>
      </c>
      <c r="B56" s="2" t="s">
        <v>17</v>
      </c>
      <c r="C56" s="2" t="str">
        <f>'Místn. FAPPZ_B'!K5</f>
        <v>Chodby, schodiště a ostatní</v>
      </c>
      <c r="D56" s="2" t="s">
        <v>18</v>
      </c>
      <c r="E56" s="2">
        <f>GETPIVOTDATA("Plocha v m2",'Místn. FAPPZ_B'!$K$3,"Využití místnosti (přepokládané)","Chodby, schodiště a ostatní","Navrhovaná četnost","1xM")</f>
        <v>595.49999999999989</v>
      </c>
      <c r="F56" s="1" t="str">
        <f>'Místn. FAPPZ_B'!K4</f>
        <v>1xM</v>
      </c>
      <c r="G56" s="2">
        <f>E56</f>
        <v>595.49999999999989</v>
      </c>
      <c r="H56" s="102"/>
      <c r="I56" s="138">
        <f t="shared" si="1"/>
        <v>0</v>
      </c>
    </row>
    <row r="57" spans="1:14" x14ac:dyDescent="0.3">
      <c r="A57" s="2" t="s">
        <v>27</v>
      </c>
      <c r="B57" s="2" t="s">
        <v>17</v>
      </c>
      <c r="C57" s="2" t="str">
        <f>'Místn. FAPPZ_B'!K6</f>
        <v>Laboratoře</v>
      </c>
      <c r="D57" s="2" t="s">
        <v>18</v>
      </c>
      <c r="E57" s="2">
        <f>GETPIVOTDATA("Plocha v m2",'Místn. FAPPZ_B'!$K$3,"Využití místnosti (přepokládané)","Laboratoře","Navrhovaná četnost","1xM")</f>
        <v>230.20999999999998</v>
      </c>
      <c r="F57" s="1" t="str">
        <f>'Místn. FAPPZ_B'!K4</f>
        <v>1xM</v>
      </c>
      <c r="G57" s="2">
        <f>E57</f>
        <v>230.20999999999998</v>
      </c>
      <c r="H57" s="102"/>
      <c r="I57" s="138">
        <f t="shared" si="1"/>
        <v>0</v>
      </c>
      <c r="N57">
        <f>SUM(E56:E57)</f>
        <v>825.70999999999981</v>
      </c>
    </row>
    <row r="58" spans="1:14" x14ac:dyDescent="0.3">
      <c r="A58" s="2" t="s">
        <v>27</v>
      </c>
      <c r="B58" s="2" t="s">
        <v>19</v>
      </c>
      <c r="C58" s="2" t="str">
        <f>'Místn. FAPPZ_B'!K26</f>
        <v>Chodby, schodiště a ostatní</v>
      </c>
      <c r="D58" s="2" t="s">
        <v>18</v>
      </c>
      <c r="E58" s="2">
        <f>GETPIVOTDATA("Plocha v m2",'Místn. FAPPZ_B'!$K$24,"Využití místnosti (přepokládané)","Chodby, schodiště a ostatní","Navrhovaná četnost","5xT")</f>
        <v>396.8</v>
      </c>
      <c r="F58" s="1" t="str">
        <f>'Místn. FAPPZ_B'!K25</f>
        <v>5xT</v>
      </c>
      <c r="G58" s="2">
        <f>E58</f>
        <v>396.8</v>
      </c>
      <c r="H58" s="102"/>
      <c r="I58" s="138">
        <f t="shared" si="1"/>
        <v>0</v>
      </c>
    </row>
    <row r="59" spans="1:14" x14ac:dyDescent="0.3">
      <c r="A59" s="2" t="s">
        <v>27</v>
      </c>
      <c r="B59" s="2" t="s">
        <v>19</v>
      </c>
      <c r="C59" s="2" t="str">
        <f>'Místn. FAPPZ_B'!K27</f>
        <v>Kanceláře</v>
      </c>
      <c r="D59" s="2" t="s">
        <v>18</v>
      </c>
      <c r="E59" s="2">
        <f>GETPIVOTDATA("Plocha v m2",'Místn. FAPPZ_B'!$K$24,"Využití místnosti (přepokládané)","Kanceláře","Navrhovaná četnost","5xT")</f>
        <v>17.09</v>
      </c>
      <c r="F59" s="1" t="str">
        <f>'Místn. FAPPZ_B'!K25</f>
        <v>5xT</v>
      </c>
      <c r="G59" s="2">
        <f t="shared" ref="G59:G62" si="5">E59</f>
        <v>17.09</v>
      </c>
      <c r="H59" s="102"/>
      <c r="I59" s="138">
        <f t="shared" si="1"/>
        <v>0</v>
      </c>
    </row>
    <row r="60" spans="1:14" x14ac:dyDescent="0.3">
      <c r="A60" s="2" t="s">
        <v>27</v>
      </c>
      <c r="B60" s="2" t="s">
        <v>19</v>
      </c>
      <c r="C60" s="2" t="str">
        <f>'Místn. FAPPZ_B'!K28</f>
        <v>Laboratoře</v>
      </c>
      <c r="D60" s="2" t="s">
        <v>18</v>
      </c>
      <c r="E60" s="2">
        <f>GETPIVOTDATA("Plocha v m2",'Místn. FAPPZ_B'!$K$24,"Využití místnosti (přepokládané)","Laboratoře","Navrhovaná četnost","5xT")</f>
        <v>21.63</v>
      </c>
      <c r="F60" s="1" t="str">
        <f>'Místn. FAPPZ_B'!K25</f>
        <v>5xT</v>
      </c>
      <c r="G60" s="2">
        <f t="shared" si="5"/>
        <v>21.63</v>
      </c>
      <c r="H60" s="102"/>
      <c r="I60" s="138">
        <f t="shared" si="1"/>
        <v>0</v>
      </c>
    </row>
    <row r="61" spans="1:14" x14ac:dyDescent="0.3">
      <c r="A61" s="2" t="s">
        <v>27</v>
      </c>
      <c r="B61" s="2" t="s">
        <v>19</v>
      </c>
      <c r="C61" s="2" t="str">
        <f>'Místn. FAPPZ_B'!K29</f>
        <v>Posluchárna</v>
      </c>
      <c r="D61" s="2" t="s">
        <v>18</v>
      </c>
      <c r="E61" s="2">
        <f>GETPIVOTDATA("Plocha v m2",'Místn. FAPPZ_B'!$K$24,"Využití místnosti (přepokládané)","Posluchárna","Navrhovaná četnost","5xT")</f>
        <v>632.41999999999996</v>
      </c>
      <c r="F61" s="1" t="str">
        <f>'Místn. FAPPZ_B'!K25</f>
        <v>5xT</v>
      </c>
      <c r="G61" s="2">
        <f t="shared" si="5"/>
        <v>632.41999999999996</v>
      </c>
      <c r="H61" s="102"/>
      <c r="I61" s="138">
        <f t="shared" si="1"/>
        <v>0</v>
      </c>
    </row>
    <row r="62" spans="1:14" x14ac:dyDescent="0.3">
      <c r="A62" s="2" t="s">
        <v>27</v>
      </c>
      <c r="B62" s="2" t="s">
        <v>19</v>
      </c>
      <c r="C62" s="2" t="str">
        <f>'Místn. FAPPZ_B'!K30</f>
        <v>Sociální zařízení</v>
      </c>
      <c r="D62" s="2" t="s">
        <v>18</v>
      </c>
      <c r="E62" s="2">
        <f>GETPIVOTDATA("Plocha v m2",'Místn. FAPPZ_B'!$K$24,"Využití místnosti (přepokládané)","Sociální zařízení","Navrhovaná četnost","5xT")</f>
        <v>65.760000000000005</v>
      </c>
      <c r="F62" s="1" t="str">
        <f>'Místn. FAPPZ_B'!K25</f>
        <v>5xT</v>
      </c>
      <c r="G62" s="2">
        <f t="shared" si="5"/>
        <v>65.760000000000005</v>
      </c>
      <c r="H62" s="102"/>
      <c r="I62" s="138">
        <f t="shared" si="1"/>
        <v>0</v>
      </c>
      <c r="N62">
        <f>SUM(E58:E62)</f>
        <v>1133.7</v>
      </c>
    </row>
    <row r="63" spans="1:14" x14ac:dyDescent="0.3">
      <c r="A63" s="2" t="s">
        <v>27</v>
      </c>
      <c r="B63" s="2" t="s">
        <v>20</v>
      </c>
      <c r="C63" s="2" t="str">
        <f>'Místn. FAPPZ_B'!K58</f>
        <v>Chodby, schodiště a ostatní</v>
      </c>
      <c r="D63" s="2" t="s">
        <v>18</v>
      </c>
      <c r="E63" s="2">
        <f>GETPIVOTDATA("Plocha v m2",'Místn. FAPPZ_B'!$K$56,"Využití místnosti (přepokládané)","Chodby, schodiště a ostatní","Navrhovaná četnost","5xT")</f>
        <v>389.94</v>
      </c>
      <c r="F63" s="1" t="str">
        <f>'Místn. FAPPZ_B'!K57</f>
        <v>5xT</v>
      </c>
      <c r="G63" s="2">
        <f>GETPIVOTDATA("Plocha v m2",'Místn. FAPPZ_B'!$K$56,"Využití místnosti (přepokládané)","Chodby, schodiště a ostatní","Navrhovaná četnost","5xT")</f>
        <v>389.94</v>
      </c>
      <c r="H63" s="102"/>
      <c r="I63" s="138">
        <f t="shared" si="1"/>
        <v>0</v>
      </c>
    </row>
    <row r="64" spans="1:14" x14ac:dyDescent="0.3">
      <c r="A64" s="2" t="s">
        <v>27</v>
      </c>
      <c r="B64" s="2" t="s">
        <v>20</v>
      </c>
      <c r="C64" s="2" t="str">
        <f>'Místn. FAPPZ_B'!K59</f>
        <v>Laboratoře</v>
      </c>
      <c r="D64" s="2" t="s">
        <v>18</v>
      </c>
      <c r="E64" s="2">
        <f>GETPIVOTDATA("Plocha v m2",'Místn. FAPPZ_B'!$K$56,"Využití místnosti (přepokládané)","Laboratoře","Navrhovaná četnost","5xT")</f>
        <v>686.12999999999988</v>
      </c>
      <c r="F64" s="1" t="str">
        <f>'Místn. FAPPZ_B'!K57</f>
        <v>5xT</v>
      </c>
      <c r="G64" s="2">
        <f>GETPIVOTDATA("Plocha v m2",'Místn. FAPPZ_B'!$K$56,"Využití místnosti (přepokládané)","Laboratoře","Navrhovaná četnost","5xT")</f>
        <v>686.12999999999988</v>
      </c>
      <c r="H64" s="102"/>
      <c r="I64" s="138">
        <f t="shared" si="1"/>
        <v>0</v>
      </c>
    </row>
    <row r="65" spans="1:14" x14ac:dyDescent="0.3">
      <c r="A65" s="2" t="s">
        <v>27</v>
      </c>
      <c r="B65" s="2" t="s">
        <v>20</v>
      </c>
      <c r="C65" s="2" t="str">
        <f>'Místn. FAPPZ_B'!K60</f>
        <v>Sociální zařízení</v>
      </c>
      <c r="D65" s="2" t="s">
        <v>18</v>
      </c>
      <c r="E65" s="2">
        <f>GETPIVOTDATA("Plocha v m2",'Místn. FAPPZ_B'!$K$56,"Využití místnosti (přepokládané)","Sociální zařízení","Navrhovaná četnost","5xT")</f>
        <v>65.48</v>
      </c>
      <c r="F65" s="1" t="str">
        <f>'Místn. FAPPZ_B'!K57</f>
        <v>5xT</v>
      </c>
      <c r="G65" s="2">
        <f>GETPIVOTDATA("Plocha v m2",'Místn. FAPPZ_B'!$K$56,"Využití místnosti (přepokládané)","Sociální zařízení","Navrhovaná četnost","5xT")</f>
        <v>65.48</v>
      </c>
      <c r="H65" s="102"/>
      <c r="I65" s="138">
        <f t="shared" si="1"/>
        <v>0</v>
      </c>
      <c r="N65">
        <f>SUM(E63:E65)</f>
        <v>1141.55</v>
      </c>
    </row>
    <row r="66" spans="1:14" x14ac:dyDescent="0.3">
      <c r="A66" s="2" t="s">
        <v>27</v>
      </c>
      <c r="B66" s="2" t="s">
        <v>21</v>
      </c>
      <c r="C66" s="2" t="str">
        <f>'Místn. FAPPZ_B'!K95</f>
        <v>Kanceláře</v>
      </c>
      <c r="D66" s="2" t="s">
        <v>18</v>
      </c>
      <c r="E66" s="2">
        <f>GETPIVOTDATA("Plocha v m2",'Místn. FAPPZ_B'!$K$93,"Využití místnosti (přepokládané)","Kanceláře","Navrhovaná četnost","3xT")</f>
        <v>610.8499999999998</v>
      </c>
      <c r="F66" s="1" t="str">
        <f>'Místn. FAPPZ_B'!K94</f>
        <v>3xT</v>
      </c>
      <c r="G66" s="2">
        <f>E66</f>
        <v>610.8499999999998</v>
      </c>
      <c r="H66" s="102"/>
      <c r="I66" s="138">
        <f t="shared" si="1"/>
        <v>0</v>
      </c>
    </row>
    <row r="67" spans="1:14" x14ac:dyDescent="0.3">
      <c r="A67" s="2" t="s">
        <v>27</v>
      </c>
      <c r="B67" s="2" t="s">
        <v>21</v>
      </c>
      <c r="C67" s="2" t="str">
        <f>'Místn. FAPPZ_B'!K97</f>
        <v>Chodby, schodiště a ostatní</v>
      </c>
      <c r="D67" s="2" t="s">
        <v>18</v>
      </c>
      <c r="E67" s="2">
        <f>GETPIVOTDATA("Plocha v m2",'Místn. FAPPZ_B'!$K$93,"Využití místnosti (přepokládané)","Chodby, schodiště a ostatní","Navrhovaná četnost","5xT")</f>
        <v>335.76000000000005</v>
      </c>
      <c r="F67" s="1" t="str">
        <f>'Místn. FAPPZ_B'!K96</f>
        <v>5xT</v>
      </c>
      <c r="G67" s="2">
        <f t="shared" ref="G67:G103" si="6">E67</f>
        <v>335.76000000000005</v>
      </c>
      <c r="H67" s="102"/>
      <c r="I67" s="138">
        <f t="shared" ref="I67:I103" si="7">E67*H67*21.25</f>
        <v>0</v>
      </c>
    </row>
    <row r="68" spans="1:14" x14ac:dyDescent="0.3">
      <c r="A68" s="2" t="s">
        <v>27</v>
      </c>
      <c r="B68" s="2" t="s">
        <v>21</v>
      </c>
      <c r="C68" s="2" t="str">
        <f>'Místn. FAPPZ_B'!K98</f>
        <v>Laboratoře</v>
      </c>
      <c r="D68" s="2" t="s">
        <v>18</v>
      </c>
      <c r="E68" s="2">
        <f>GETPIVOTDATA("Plocha v m2",'Místn. FAPPZ_B'!$K$93,"Využití místnosti (přepokládané)","Laboratoře","Navrhovaná četnost","5xT")</f>
        <v>99.259999999999991</v>
      </c>
      <c r="F68" s="1" t="str">
        <f>'Místn. FAPPZ_B'!K96</f>
        <v>5xT</v>
      </c>
      <c r="G68" s="2">
        <f t="shared" si="6"/>
        <v>99.259999999999991</v>
      </c>
      <c r="H68" s="102"/>
      <c r="I68" s="138">
        <f t="shared" si="7"/>
        <v>0</v>
      </c>
    </row>
    <row r="69" spans="1:14" x14ac:dyDescent="0.3">
      <c r="A69" s="2" t="s">
        <v>27</v>
      </c>
      <c r="B69" s="2" t="s">
        <v>21</v>
      </c>
      <c r="C69" s="2" t="str">
        <f>'Místn. FAPPZ_B'!K99</f>
        <v>Sociální zařízení</v>
      </c>
      <c r="D69" s="2" t="s">
        <v>18</v>
      </c>
      <c r="E69" s="2">
        <f>GETPIVOTDATA("Plocha v m2",'Místn. FAPPZ_B'!$K$93,"Využití místnosti (přepokládané)","Sociální zařízení","Navrhovaná četnost","5xT")</f>
        <v>34.18</v>
      </c>
      <c r="F69" s="1" t="str">
        <f>'Místn. FAPPZ_B'!K96</f>
        <v>5xT</v>
      </c>
      <c r="G69" s="2">
        <f t="shared" si="6"/>
        <v>34.18</v>
      </c>
      <c r="H69" s="102"/>
      <c r="I69" s="138">
        <f t="shared" si="7"/>
        <v>0</v>
      </c>
      <c r="N69">
        <f>SUM(E66:E69)</f>
        <v>1080.05</v>
      </c>
    </row>
    <row r="70" spans="1:14" x14ac:dyDescent="0.3">
      <c r="A70" s="2" t="s">
        <v>27</v>
      </c>
      <c r="B70" s="2" t="s">
        <v>22</v>
      </c>
      <c r="C70" s="2" t="str">
        <f>'Místn. FAPPZ_B'!K144</f>
        <v>Kanceláře</v>
      </c>
      <c r="D70" s="2" t="s">
        <v>18</v>
      </c>
      <c r="E70" s="2">
        <f>GETPIVOTDATA("Plocha v m2",'Místn. FAPPZ_B'!$K$142,"Využití místnosti (přepokládané)","Kanceláře","Navrhovaná četnost","3xT")</f>
        <v>712.4799999999999</v>
      </c>
      <c r="F70" s="1" t="str">
        <f>'Místn. FAPPZ_B'!K143</f>
        <v>3xT</v>
      </c>
      <c r="G70" s="2">
        <f t="shared" si="6"/>
        <v>712.4799999999999</v>
      </c>
      <c r="H70" s="102"/>
      <c r="I70" s="138">
        <f t="shared" si="7"/>
        <v>0</v>
      </c>
    </row>
    <row r="71" spans="1:14" x14ac:dyDescent="0.3">
      <c r="A71" s="2" t="s">
        <v>27</v>
      </c>
      <c r="B71" s="2" t="s">
        <v>22</v>
      </c>
      <c r="C71" s="2" t="str">
        <f>'Místn. FAPPZ_B'!K146</f>
        <v>Chodby, schodiště a ostatní</v>
      </c>
      <c r="D71" s="2" t="s">
        <v>18</v>
      </c>
      <c r="E71" s="2">
        <f>GETPIVOTDATA("Plocha v m2",'Místn. FAPPZ_B'!$K$142,"Využití místnosti (přepokládané)","Chodby, schodiště a ostatní","Navrhovaná četnost","5xT")</f>
        <v>347.37</v>
      </c>
      <c r="F71" s="1" t="str">
        <f>'Místn. FAPPZ_B'!K145</f>
        <v>5xT</v>
      </c>
      <c r="G71" s="2">
        <f t="shared" si="6"/>
        <v>347.37</v>
      </c>
      <c r="H71" s="102"/>
      <c r="I71" s="138">
        <f t="shared" si="7"/>
        <v>0</v>
      </c>
    </row>
    <row r="72" spans="1:14" x14ac:dyDescent="0.3">
      <c r="A72" s="2" t="s">
        <v>27</v>
      </c>
      <c r="B72" s="2" t="s">
        <v>22</v>
      </c>
      <c r="C72" s="2" t="str">
        <f>'Místn. FAPPZ_B'!K147</f>
        <v>Sociální zařízení</v>
      </c>
      <c r="D72" s="2" t="s">
        <v>18</v>
      </c>
      <c r="E72" s="2">
        <f>GETPIVOTDATA("Plocha v m2",'Místn. FAPPZ_B'!$K$142,"Využití místnosti (přepokládané)","Sociální zařízení","Navrhovaná četnost","5xT")</f>
        <v>34.17</v>
      </c>
      <c r="F72" s="1" t="str">
        <f>'Místn. FAPPZ_B'!K145</f>
        <v>5xT</v>
      </c>
      <c r="G72" s="2">
        <f t="shared" si="6"/>
        <v>34.17</v>
      </c>
      <c r="H72" s="102"/>
      <c r="I72" s="138">
        <f t="shared" si="7"/>
        <v>0</v>
      </c>
      <c r="N72">
        <f>SUM(E70:E72)</f>
        <v>1094.02</v>
      </c>
    </row>
    <row r="73" spans="1:14" x14ac:dyDescent="0.3">
      <c r="A73" s="2" t="s">
        <v>28</v>
      </c>
      <c r="B73" s="2" t="s">
        <v>19</v>
      </c>
      <c r="C73" s="2" t="str">
        <f>'Místn. FAPPZ_C'!I5</f>
        <v xml:space="preserve"> Laboratoře</v>
      </c>
      <c r="D73" s="2" t="s">
        <v>18</v>
      </c>
      <c r="E73" s="2">
        <f>GETPIVOTDATA("plocha (m2)",'Místn. FAPPZ_C'!$I$3,"Využití místnosti "," Laboratoře","Navrhovaná četnost","1xM")</f>
        <v>111.49000000000001</v>
      </c>
      <c r="F73" s="1" t="str">
        <f>'Místn. FAPPZ_C'!I4</f>
        <v>1xM</v>
      </c>
      <c r="G73" s="2">
        <f t="shared" si="6"/>
        <v>111.49000000000001</v>
      </c>
      <c r="H73" s="102"/>
      <c r="I73" s="138">
        <f t="shared" si="7"/>
        <v>0</v>
      </c>
    </row>
    <row r="74" spans="1:14" x14ac:dyDescent="0.3">
      <c r="A74" s="2" t="s">
        <v>28</v>
      </c>
      <c r="B74" s="2" t="s">
        <v>19</v>
      </c>
      <c r="C74" s="2" t="str">
        <f>'Místn. FAPPZ_C'!I7</f>
        <v xml:space="preserve"> Kanceláře </v>
      </c>
      <c r="D74" s="2" t="s">
        <v>18</v>
      </c>
      <c r="E74" s="2">
        <f>GETPIVOTDATA("plocha (m2)",'Místn. FAPPZ_C'!$I$3,"Využití místnosti "," Kanceláře ","Navrhovaná četnost","3xT")</f>
        <v>110</v>
      </c>
      <c r="F74" s="1" t="str">
        <f>'Místn. FAPPZ_C'!I6</f>
        <v>3xT</v>
      </c>
      <c r="G74" s="2">
        <f t="shared" si="6"/>
        <v>110</v>
      </c>
      <c r="H74" s="102"/>
      <c r="I74" s="138">
        <f t="shared" si="7"/>
        <v>0</v>
      </c>
    </row>
    <row r="75" spans="1:14" x14ac:dyDescent="0.3">
      <c r="A75" s="2" t="s">
        <v>28</v>
      </c>
      <c r="B75" s="2" t="s">
        <v>19</v>
      </c>
      <c r="C75" s="2" t="str">
        <f>'Místn. FAPPZ_C'!I9</f>
        <v xml:space="preserve"> Chodby, schodiště a ostatní</v>
      </c>
      <c r="D75" s="2" t="s">
        <v>18</v>
      </c>
      <c r="E75" s="2">
        <f>GETPIVOTDATA("plocha (m2)",'Místn. FAPPZ_C'!$I$3,"Využití místnosti "," Chodby, schodiště a ostatní","Navrhovaná četnost","5xT")</f>
        <v>190.24</v>
      </c>
      <c r="F75" s="1" t="str">
        <f>'Místn. FAPPZ_C'!I8</f>
        <v>5xT</v>
      </c>
      <c r="G75" s="2">
        <f t="shared" si="6"/>
        <v>190.24</v>
      </c>
      <c r="H75" s="102"/>
      <c r="I75" s="138">
        <f t="shared" si="7"/>
        <v>0</v>
      </c>
    </row>
    <row r="76" spans="1:14" x14ac:dyDescent="0.3">
      <c r="A76" s="2" t="s">
        <v>28</v>
      </c>
      <c r="B76" s="2" t="s">
        <v>19</v>
      </c>
      <c r="C76" s="2" t="str">
        <f>'Místn. FAPPZ_C'!I10</f>
        <v xml:space="preserve"> Laboratoře</v>
      </c>
      <c r="D76" s="2" t="s">
        <v>18</v>
      </c>
      <c r="E76" s="2">
        <f>GETPIVOTDATA("plocha (m2)",'Místn. FAPPZ_C'!$I$3,"Využití místnosti "," Laboratoře","Navrhovaná četnost","5xT")</f>
        <v>252.23999999999998</v>
      </c>
      <c r="F76" s="1" t="str">
        <f>'Místn. FAPPZ_C'!I8</f>
        <v>5xT</v>
      </c>
      <c r="G76" s="2">
        <f t="shared" si="6"/>
        <v>252.23999999999998</v>
      </c>
      <c r="H76" s="102"/>
      <c r="I76" s="138">
        <f t="shared" si="7"/>
        <v>0</v>
      </c>
    </row>
    <row r="77" spans="1:14" x14ac:dyDescent="0.3">
      <c r="A77" s="2" t="s">
        <v>28</v>
      </c>
      <c r="B77" s="2" t="s">
        <v>19</v>
      </c>
      <c r="C77" s="2" t="str">
        <f>'Místn. FAPPZ_C'!I11</f>
        <v xml:space="preserve"> Sociální zařízení </v>
      </c>
      <c r="D77" s="2" t="s">
        <v>18</v>
      </c>
      <c r="E77" s="2">
        <f>GETPIVOTDATA("plocha (m2)",'Místn. FAPPZ_C'!$I$3,"Využití místnosti "," Sociální zařízení ","Navrhovaná četnost","5xT")</f>
        <v>47.199999999999996</v>
      </c>
      <c r="F77" s="1" t="str">
        <f>'Místn. FAPPZ_C'!I8</f>
        <v>5xT</v>
      </c>
      <c r="G77" s="2">
        <f t="shared" si="6"/>
        <v>47.199999999999996</v>
      </c>
      <c r="H77" s="102"/>
      <c r="I77" s="138">
        <f t="shared" si="7"/>
        <v>0</v>
      </c>
    </row>
    <row r="78" spans="1:14" x14ac:dyDescent="0.3">
      <c r="A78" s="2" t="s">
        <v>28</v>
      </c>
      <c r="B78" s="2" t="s">
        <v>19</v>
      </c>
      <c r="C78" s="2" t="str">
        <f>'Místn. FAPPZ_C'!I12</f>
        <v>Posluchárna</v>
      </c>
      <c r="D78" s="2" t="s">
        <v>18</v>
      </c>
      <c r="E78" s="2">
        <f>GETPIVOTDATA("plocha (m2)",'Místn. FAPPZ_C'!$I$3,"Využití místnosti ","Posluchárna","Navrhovaná četnost","5xT")</f>
        <v>100.79</v>
      </c>
      <c r="F78" s="1" t="str">
        <f>'Místn. FAPPZ_C'!I8</f>
        <v>5xT</v>
      </c>
      <c r="G78" s="2">
        <f t="shared" si="6"/>
        <v>100.79</v>
      </c>
      <c r="H78" s="102"/>
      <c r="I78" s="138">
        <f t="shared" si="7"/>
        <v>0</v>
      </c>
      <c r="N78">
        <f>SUM(E73:E78)</f>
        <v>811.96</v>
      </c>
    </row>
    <row r="79" spans="1:14" x14ac:dyDescent="0.3">
      <c r="A79" s="2" t="s">
        <v>28</v>
      </c>
      <c r="B79" s="2" t="s">
        <v>20</v>
      </c>
      <c r="C79" s="2" t="str">
        <f>'Místn. FAPPZ_C'!I42</f>
        <v xml:space="preserve"> Laboratoře</v>
      </c>
      <c r="D79" s="2" t="s">
        <v>18</v>
      </c>
      <c r="E79" s="2">
        <f>GETPIVOTDATA("plocha (m2)",'Místn. FAPPZ_C'!$I$40,"Využití místnosti "," Laboratoře","Navrhovaná četnost","1xM")</f>
        <v>98.030000000000015</v>
      </c>
      <c r="F79" s="1" t="str">
        <f>'Místn. FAPPZ_C'!I41</f>
        <v>1xM</v>
      </c>
      <c r="G79" s="2">
        <f t="shared" si="6"/>
        <v>98.030000000000015</v>
      </c>
      <c r="H79" s="102"/>
      <c r="I79" s="138">
        <f t="shared" si="7"/>
        <v>0</v>
      </c>
    </row>
    <row r="80" spans="1:14" x14ac:dyDescent="0.3">
      <c r="A80" s="2" t="s">
        <v>28</v>
      </c>
      <c r="B80" s="2" t="s">
        <v>20</v>
      </c>
      <c r="C80" s="2" t="str">
        <f>'Místn. FAPPZ_C'!I44</f>
        <v xml:space="preserve"> Kanceláře </v>
      </c>
      <c r="D80" s="2" t="s">
        <v>18</v>
      </c>
      <c r="E80" s="2">
        <f>GETPIVOTDATA("plocha (m2)",'Místn. FAPPZ_C'!$I$40,"Využití místnosti "," Kanceláře ","Navrhovaná četnost","3xT")</f>
        <v>298.57</v>
      </c>
      <c r="F80" s="1" t="str">
        <f>'Místn. FAPPZ_C'!I43</f>
        <v>3xT</v>
      </c>
      <c r="G80" s="2">
        <f t="shared" si="6"/>
        <v>298.57</v>
      </c>
      <c r="H80" s="102"/>
      <c r="I80" s="138">
        <f t="shared" si="7"/>
        <v>0</v>
      </c>
    </row>
    <row r="81" spans="1:14" x14ac:dyDescent="0.3">
      <c r="A81" s="2" t="s">
        <v>28</v>
      </c>
      <c r="B81" s="2" t="s">
        <v>20</v>
      </c>
      <c r="C81" s="2" t="str">
        <f>'Místn. FAPPZ_C'!I46</f>
        <v xml:space="preserve"> Chodby, schodiště a ostatní</v>
      </c>
      <c r="D81" s="2" t="s">
        <v>18</v>
      </c>
      <c r="E81" s="2">
        <f>GETPIVOTDATA("plocha (m2)",'Místn. FAPPZ_C'!$I$40,"Využití místnosti "," Chodby, schodiště a ostatní","Navrhovaná četnost","5xT")</f>
        <v>161.34999999999997</v>
      </c>
      <c r="F81" s="1" t="str">
        <f>'Místn. FAPPZ_C'!I45</f>
        <v>5xT</v>
      </c>
      <c r="G81" s="2">
        <f t="shared" si="6"/>
        <v>161.34999999999997</v>
      </c>
      <c r="H81" s="102"/>
      <c r="I81" s="138">
        <f t="shared" si="7"/>
        <v>0</v>
      </c>
    </row>
    <row r="82" spans="1:14" x14ac:dyDescent="0.3">
      <c r="A82" s="2" t="s">
        <v>28</v>
      </c>
      <c r="B82" s="2" t="s">
        <v>20</v>
      </c>
      <c r="C82" s="2" t="str">
        <f>'Místn. FAPPZ_C'!I47</f>
        <v xml:space="preserve"> Laboratoře</v>
      </c>
      <c r="D82" s="2" t="s">
        <v>18</v>
      </c>
      <c r="E82" s="2">
        <f>GETPIVOTDATA("plocha (m2)",'Místn. FAPPZ_C'!$I$40,"Využití místnosti "," Laboratoře","Navrhovaná četnost","5xT")</f>
        <v>192.21999999999997</v>
      </c>
      <c r="F82" s="1" t="str">
        <f>'Místn. FAPPZ_C'!I45</f>
        <v>5xT</v>
      </c>
      <c r="G82" s="2">
        <f t="shared" si="6"/>
        <v>192.21999999999997</v>
      </c>
      <c r="H82" s="102"/>
      <c r="I82" s="138">
        <f t="shared" si="7"/>
        <v>0</v>
      </c>
    </row>
    <row r="83" spans="1:14" x14ac:dyDescent="0.3">
      <c r="A83" s="2" t="s">
        <v>28</v>
      </c>
      <c r="B83" s="2" t="s">
        <v>20</v>
      </c>
      <c r="C83" s="2" t="str">
        <f>'Místn. FAPPZ_C'!I48</f>
        <v xml:space="preserve"> Sociální zařízení </v>
      </c>
      <c r="D83" s="2" t="s">
        <v>18</v>
      </c>
      <c r="E83" s="2">
        <f>GETPIVOTDATA("plocha (m2)",'Místn. FAPPZ_C'!$I$40,"Využití místnosti "," Sociální zařízení ","Navrhovaná četnost","5xT")</f>
        <v>25.500000000000004</v>
      </c>
      <c r="F83" s="1" t="str">
        <f>'Místn. FAPPZ_C'!I45</f>
        <v>5xT</v>
      </c>
      <c r="G83" s="2">
        <f t="shared" si="6"/>
        <v>25.500000000000004</v>
      </c>
      <c r="H83" s="102"/>
      <c r="I83" s="138">
        <f t="shared" si="7"/>
        <v>0</v>
      </c>
      <c r="N83">
        <f>SUM(E79:E83)</f>
        <v>775.67000000000007</v>
      </c>
    </row>
    <row r="84" spans="1:14" x14ac:dyDescent="0.3">
      <c r="A84" s="2" t="s">
        <v>29</v>
      </c>
      <c r="B84" s="2" t="s">
        <v>19</v>
      </c>
      <c r="C84" s="2" t="str">
        <f>'Místn. FAPPZ_CVCHP'!K7</f>
        <v>chodba</v>
      </c>
      <c r="D84" s="2" t="s">
        <v>18</v>
      </c>
      <c r="E84" s="2">
        <f>GETPIVOTDATA("plocha (m2)",'Místn. FAPPZ_CVCHP'!$J$5,"užití","chodba","Navrhovaná četnost","5xT")</f>
        <v>54.1</v>
      </c>
      <c r="F84" s="1" t="str">
        <f>'Místn. FAPPZ_CVCHP'!J7</f>
        <v>5xT</v>
      </c>
      <c r="G84" s="2">
        <f t="shared" si="6"/>
        <v>54.1</v>
      </c>
      <c r="H84" s="102"/>
      <c r="I84" s="138">
        <f t="shared" si="7"/>
        <v>0</v>
      </c>
    </row>
    <row r="85" spans="1:14" x14ac:dyDescent="0.3">
      <c r="A85" s="2" t="s">
        <v>29</v>
      </c>
      <c r="B85" s="2" t="s">
        <v>19</v>
      </c>
      <c r="C85" s="2" t="str">
        <f>'Místn. FAPPZ_CVCHP'!K8</f>
        <v>kancelář</v>
      </c>
      <c r="D85" s="2" t="s">
        <v>18</v>
      </c>
      <c r="E85" s="2">
        <f>GETPIVOTDATA("plocha (m2)",'Místn. FAPPZ_CVCHP'!$J$5,"užití","kancelář","Navrhovaná četnost","5xT")</f>
        <v>22.1</v>
      </c>
      <c r="F85" s="1" t="str">
        <f>'Místn. FAPPZ_CVCHP'!J7</f>
        <v>5xT</v>
      </c>
      <c r="G85" s="2">
        <f t="shared" si="6"/>
        <v>22.1</v>
      </c>
      <c r="H85" s="102"/>
      <c r="I85" s="138">
        <f t="shared" si="7"/>
        <v>0</v>
      </c>
    </row>
    <row r="86" spans="1:14" x14ac:dyDescent="0.3">
      <c r="A86" s="2" t="s">
        <v>29</v>
      </c>
      <c r="B86" s="2" t="s">
        <v>19</v>
      </c>
      <c r="C86" s="2" t="str">
        <f>'Místn. FAPPZ_CVCHP'!K9</f>
        <v>kuchyňka</v>
      </c>
      <c r="D86" s="2" t="s">
        <v>18</v>
      </c>
      <c r="E86" s="2">
        <f>GETPIVOTDATA("plocha (m2)",'Místn. FAPPZ_CVCHP'!$J$5,"užití","kuchyňka","Navrhovaná četnost","5xT")</f>
        <v>9.5</v>
      </c>
      <c r="F86" s="1" t="str">
        <f>'Místn. FAPPZ_CVCHP'!J7</f>
        <v>5xT</v>
      </c>
      <c r="G86" s="2">
        <f t="shared" si="6"/>
        <v>9.5</v>
      </c>
      <c r="H86" s="102"/>
      <c r="I86" s="138">
        <f t="shared" si="7"/>
        <v>0</v>
      </c>
    </row>
    <row r="87" spans="1:14" x14ac:dyDescent="0.3">
      <c r="A87" s="2" t="s">
        <v>29</v>
      </c>
      <c r="B87" s="2" t="s">
        <v>19</v>
      </c>
      <c r="C87" s="2" t="str">
        <f>'Místn. FAPPZ_CVCHP'!K10</f>
        <v>ošetřovna</v>
      </c>
      <c r="D87" s="2" t="s">
        <v>18</v>
      </c>
      <c r="E87" s="2">
        <f>GETPIVOTDATA("plocha (m2)",'Místn. FAPPZ_CVCHP'!$J$5,"užití","ošetřovna","Navrhovaná četnost","5xT")</f>
        <v>22.6</v>
      </c>
      <c r="F87" s="1" t="str">
        <f>'Místn. FAPPZ_CVCHP'!J7</f>
        <v>5xT</v>
      </c>
      <c r="G87" s="2">
        <f t="shared" si="6"/>
        <v>22.6</v>
      </c>
      <c r="H87" s="102"/>
      <c r="I87" s="138">
        <f t="shared" si="7"/>
        <v>0</v>
      </c>
    </row>
    <row r="88" spans="1:14" x14ac:dyDescent="0.3">
      <c r="A88" s="2" t="s">
        <v>29</v>
      </c>
      <c r="B88" s="2" t="s">
        <v>19</v>
      </c>
      <c r="C88" s="2" t="str">
        <f>'Místn. FAPPZ_CVCHP'!K11</f>
        <v>sklad</v>
      </c>
      <c r="D88" s="2" t="s">
        <v>18</v>
      </c>
      <c r="E88" s="2">
        <f>GETPIVOTDATA("plocha (m2)",'Místn. FAPPZ_CVCHP'!$J$5,"užití","sklad","Navrhovaná četnost","5xT")</f>
        <v>32.5</v>
      </c>
      <c r="F88" s="1" t="str">
        <f>'Místn. FAPPZ_CVCHP'!J7</f>
        <v>5xT</v>
      </c>
      <c r="G88" s="2">
        <f t="shared" si="6"/>
        <v>32.5</v>
      </c>
      <c r="H88" s="102"/>
      <c r="I88" s="138">
        <f t="shared" si="7"/>
        <v>0</v>
      </c>
    </row>
    <row r="89" spans="1:14" x14ac:dyDescent="0.3">
      <c r="A89" s="2" t="s">
        <v>29</v>
      </c>
      <c r="B89" s="2" t="s">
        <v>19</v>
      </c>
      <c r="C89" s="2" t="str">
        <f>'Místn. FAPPZ_CVCHP'!K12</f>
        <v>šatna</v>
      </c>
      <c r="D89" s="2" t="s">
        <v>18</v>
      </c>
      <c r="E89" s="2">
        <f>GETPIVOTDATA("plocha (m2)",'Místn. FAPPZ_CVCHP'!$J$5,"užití","šatna","Navrhovaná četnost","5xT")</f>
        <v>29.7</v>
      </c>
      <c r="F89" s="1" t="str">
        <f>'Místn. FAPPZ_CVCHP'!J7</f>
        <v>5xT</v>
      </c>
      <c r="G89" s="2">
        <f t="shared" si="6"/>
        <v>29.7</v>
      </c>
      <c r="H89" s="102"/>
      <c r="I89" s="138">
        <f t="shared" si="7"/>
        <v>0</v>
      </c>
    </row>
    <row r="90" spans="1:14" x14ac:dyDescent="0.3">
      <c r="A90" s="2" t="s">
        <v>29</v>
      </c>
      <c r="B90" s="2" t="s">
        <v>19</v>
      </c>
      <c r="C90" s="2" t="str">
        <f>'Místn. FAPPZ_CVCHP'!K13</f>
        <v>učebna</v>
      </c>
      <c r="D90" s="2" t="s">
        <v>18</v>
      </c>
      <c r="E90" s="2">
        <f>GETPIVOTDATA("plocha (m2)",'Místn. FAPPZ_CVCHP'!$J$5,"užití","učebna","Navrhovaná četnost","5xT")</f>
        <v>45.4</v>
      </c>
      <c r="F90" s="1" t="str">
        <f>'Místn. FAPPZ_CVCHP'!J7</f>
        <v>5xT</v>
      </c>
      <c r="G90" s="2">
        <f t="shared" si="6"/>
        <v>45.4</v>
      </c>
      <c r="H90" s="102"/>
      <c r="I90" s="138">
        <f t="shared" si="7"/>
        <v>0</v>
      </c>
    </row>
    <row r="91" spans="1:14" x14ac:dyDescent="0.3">
      <c r="A91" s="2" t="s">
        <v>29</v>
      </c>
      <c r="B91" s="2" t="s">
        <v>19</v>
      </c>
      <c r="C91" s="2" t="str">
        <f>'Místn. FAPPZ_CVCHP'!K14</f>
        <v>umývárna</v>
      </c>
      <c r="D91" s="2" t="s">
        <v>18</v>
      </c>
      <c r="E91" s="2">
        <f>GETPIVOTDATA("plocha (m2)",'Místn. FAPPZ_CVCHP'!$J$5,"užití","umývárna","Navrhovaná četnost","5xT")</f>
        <v>4.4000000000000004</v>
      </c>
      <c r="F91" s="1" t="str">
        <f>'Místn. FAPPZ_CVCHP'!J7</f>
        <v>5xT</v>
      </c>
      <c r="G91" s="2">
        <f t="shared" si="6"/>
        <v>4.4000000000000004</v>
      </c>
      <c r="H91" s="102"/>
      <c r="I91" s="138">
        <f t="shared" si="7"/>
        <v>0</v>
      </c>
    </row>
    <row r="92" spans="1:14" x14ac:dyDescent="0.3">
      <c r="A92" s="2" t="s">
        <v>29</v>
      </c>
      <c r="B92" s="2" t="s">
        <v>19</v>
      </c>
      <c r="C92" s="2" t="str">
        <f>'Místn. FAPPZ_CVCHP'!K15</f>
        <v>wc</v>
      </c>
      <c r="D92" s="2" t="s">
        <v>18</v>
      </c>
      <c r="E92" s="2">
        <f>GETPIVOTDATA("plocha (m2)",'Místn. FAPPZ_CVCHP'!$J$5,"užití","wc","Navrhovaná četnost","5xT")</f>
        <v>6</v>
      </c>
      <c r="F92" s="1" t="str">
        <f>'Místn. FAPPZ_CVCHP'!J7</f>
        <v>5xT</v>
      </c>
      <c r="G92" s="2">
        <f t="shared" si="6"/>
        <v>6</v>
      </c>
      <c r="H92" s="102"/>
      <c r="I92" s="138">
        <f t="shared" si="7"/>
        <v>0</v>
      </c>
    </row>
    <row r="93" spans="1:14" hidden="1" x14ac:dyDescent="0.3">
      <c r="A93" s="2" t="s">
        <v>29</v>
      </c>
      <c r="B93" s="2" t="s">
        <v>19</v>
      </c>
      <c r="C93" s="2" t="str">
        <f>'Místn. FAPPZ_CVCHP'!K16</f>
        <v>kotec</v>
      </c>
      <c r="D93" s="2" t="s">
        <v>18</v>
      </c>
      <c r="E93" s="2">
        <f>GETPIVOTDATA("plocha (m2)",'Místn. FAPPZ_CVCHP'!$J$5,"užití","kotec","Navrhovaná četnost","bez úklidu")</f>
        <v>115.1</v>
      </c>
      <c r="F93" s="1" t="str">
        <f>'Místn. FAPPZ_CVCHP'!J16</f>
        <v>bez úklidu</v>
      </c>
      <c r="G93" s="2">
        <v>0</v>
      </c>
      <c r="H93" s="102"/>
      <c r="I93" s="138">
        <f t="shared" si="7"/>
        <v>0</v>
      </c>
      <c r="N93">
        <f>SUM(E84:E93)</f>
        <v>341.4</v>
      </c>
    </row>
    <row r="94" spans="1:14" x14ac:dyDescent="0.3">
      <c r="A94" s="2" t="s">
        <v>30</v>
      </c>
      <c r="B94" s="2" t="s">
        <v>19</v>
      </c>
      <c r="C94" s="2" t="str">
        <f>'Místn. FAPPZ_skleníky'!E4</f>
        <v xml:space="preserve"> Chodby, schodiště a ostatní</v>
      </c>
      <c r="D94" s="2" t="s">
        <v>18</v>
      </c>
      <c r="E94" s="2">
        <f>GETPIVOTDATA("m2",'Místn. FAPPZ_skleníky'!$E$2,"Využití místnosti"," Chodby, schodiště a ostatní","navrhovaná četnost","5xT")</f>
        <v>321.93</v>
      </c>
      <c r="F94" s="1" t="str">
        <f>'Místn. FAPPZ_skleníky'!E3</f>
        <v>5xT</v>
      </c>
      <c r="G94" s="2">
        <f t="shared" si="6"/>
        <v>321.93</v>
      </c>
      <c r="H94" s="102"/>
      <c r="I94" s="138">
        <f t="shared" si="7"/>
        <v>0</v>
      </c>
    </row>
    <row r="95" spans="1:14" hidden="1" x14ac:dyDescent="0.3">
      <c r="A95" s="2" t="s">
        <v>30</v>
      </c>
      <c r="B95" s="2" t="s">
        <v>19</v>
      </c>
      <c r="C95" s="2" t="str">
        <f>'Místn. FAPPZ_skleníky'!E5</f>
        <v xml:space="preserve"> Kanceláře </v>
      </c>
      <c r="D95" s="2" t="s">
        <v>18</v>
      </c>
      <c r="E95" s="2">
        <f>GETPIVOTDATA("m2",'Místn. FAPPZ_skleníky'!$E$2,"Využití místnosti"," Kanceláře ","navrhovaná četnost","5xT")</f>
        <v>0</v>
      </c>
      <c r="F95" s="1" t="str">
        <f>'Místn. FAPPZ_skleníky'!E3</f>
        <v>5xT</v>
      </c>
      <c r="G95" s="2">
        <f t="shared" si="6"/>
        <v>0</v>
      </c>
      <c r="H95" s="102"/>
      <c r="I95" s="138">
        <f t="shared" si="7"/>
        <v>0</v>
      </c>
    </row>
    <row r="96" spans="1:14" x14ac:dyDescent="0.3">
      <c r="A96" s="2" t="s">
        <v>30</v>
      </c>
      <c r="B96" s="2" t="s">
        <v>19</v>
      </c>
      <c r="C96" s="2" t="str">
        <f>'Místn. FAPPZ_skleníky'!E6</f>
        <v xml:space="preserve"> Laboratoře</v>
      </c>
      <c r="D96" s="2" t="s">
        <v>18</v>
      </c>
      <c r="E96" s="2">
        <f>GETPIVOTDATA("m2",'Místn. FAPPZ_skleníky'!$E$2,"Využití místnosti"," Laboratoře","navrhovaná četnost","5xT")</f>
        <v>232.16</v>
      </c>
      <c r="F96" s="1" t="str">
        <f>'Místn. FAPPZ_skleníky'!E3</f>
        <v>5xT</v>
      </c>
      <c r="G96" s="2">
        <f t="shared" si="6"/>
        <v>232.16</v>
      </c>
      <c r="H96" s="102"/>
      <c r="I96" s="138">
        <f t="shared" si="7"/>
        <v>0</v>
      </c>
    </row>
    <row r="97" spans="1:14" hidden="1" x14ac:dyDescent="0.3">
      <c r="A97" s="2" t="s">
        <v>30</v>
      </c>
      <c r="B97" s="2" t="s">
        <v>19</v>
      </c>
      <c r="C97" s="2" t="str">
        <f>'Místn. FAPPZ_skleníky'!E7</f>
        <v xml:space="preserve"> Posluchárna</v>
      </c>
      <c r="D97" s="2" t="s">
        <v>18</v>
      </c>
      <c r="E97" s="2">
        <f>GETPIVOTDATA("m2",'Místn. FAPPZ_skleníky'!$E$2,"Využití místnosti"," Posluchárna","navrhovaná četnost","5xT")</f>
        <v>0</v>
      </c>
      <c r="F97" s="1" t="str">
        <f>'Místn. FAPPZ_skleníky'!E3</f>
        <v>5xT</v>
      </c>
      <c r="G97" s="2">
        <f t="shared" si="6"/>
        <v>0</v>
      </c>
      <c r="H97" s="102"/>
      <c r="I97" s="138">
        <f t="shared" si="7"/>
        <v>0</v>
      </c>
    </row>
    <row r="98" spans="1:14" x14ac:dyDescent="0.3">
      <c r="A98" s="2" t="s">
        <v>30</v>
      </c>
      <c r="B98" s="2" t="s">
        <v>19</v>
      </c>
      <c r="C98" s="2" t="str">
        <f>'Místn. FAPPZ_skleníky'!E8</f>
        <v xml:space="preserve"> Sociální zařízení </v>
      </c>
      <c r="D98" s="2" t="s">
        <v>18</v>
      </c>
      <c r="E98" s="2">
        <f>GETPIVOTDATA("m2",'Místn. FAPPZ_skleníky'!$E$2,"Využití místnosti"," Sociální zařízení ","navrhovaná četnost","5xT")</f>
        <v>27.35</v>
      </c>
      <c r="F98" s="1" t="str">
        <f>'Místn. FAPPZ_skleníky'!E3</f>
        <v>5xT</v>
      </c>
      <c r="G98" s="2">
        <f t="shared" si="6"/>
        <v>27.35</v>
      </c>
      <c r="H98" s="102"/>
      <c r="I98" s="138">
        <f t="shared" si="7"/>
        <v>0</v>
      </c>
      <c r="N98">
        <f>SUM(E94:E98)</f>
        <v>581.44000000000005</v>
      </c>
    </row>
    <row r="99" spans="1:14" x14ac:dyDescent="0.3">
      <c r="A99" s="2" t="s">
        <v>31</v>
      </c>
      <c r="B99" s="2" t="s">
        <v>19</v>
      </c>
      <c r="C99" s="2" t="str">
        <f>'Místn. FAPPZ_stáje'!E4</f>
        <v xml:space="preserve"> Chodby, schodiště a ostatní</v>
      </c>
      <c r="D99" s="2" t="s">
        <v>18</v>
      </c>
      <c r="E99" s="2">
        <f>GETPIVOTDATA("m2",'Místn. FAPPZ_stáje'!$E$2,"Využití místnosti"," Chodby, schodiště a ostatní","navrhovaná četnost","5xT")</f>
        <v>182.5</v>
      </c>
      <c r="F99" s="1" t="str">
        <f>'Místn. FAPPZ_stáje'!E3</f>
        <v>5xT</v>
      </c>
      <c r="G99" s="2">
        <f t="shared" si="6"/>
        <v>182.5</v>
      </c>
      <c r="H99" s="102"/>
      <c r="I99" s="138">
        <f t="shared" si="7"/>
        <v>0</v>
      </c>
    </row>
    <row r="100" spans="1:14" x14ac:dyDescent="0.3">
      <c r="A100" s="2" t="s">
        <v>31</v>
      </c>
      <c r="B100" s="2" t="s">
        <v>19</v>
      </c>
      <c r="C100" s="2" t="str">
        <f>'Místn. FAPPZ_stáje'!E5</f>
        <v xml:space="preserve"> Kanceláře </v>
      </c>
      <c r="D100" s="2" t="s">
        <v>18</v>
      </c>
      <c r="E100" s="2">
        <f>GETPIVOTDATA("m2",'Místn. FAPPZ_stáje'!$E$2,"Využití místnosti"," Kanceláře ","navrhovaná četnost","5xT")</f>
        <v>24.4</v>
      </c>
      <c r="F100" s="1" t="str">
        <f>'Místn. FAPPZ_stáje'!E3</f>
        <v>5xT</v>
      </c>
      <c r="G100" s="2">
        <f t="shared" si="6"/>
        <v>24.4</v>
      </c>
      <c r="H100" s="102"/>
      <c r="I100" s="138">
        <f t="shared" si="7"/>
        <v>0</v>
      </c>
    </row>
    <row r="101" spans="1:14" x14ac:dyDescent="0.3">
      <c r="A101" s="2" t="s">
        <v>31</v>
      </c>
      <c r="B101" s="2" t="s">
        <v>19</v>
      </c>
      <c r="C101" s="2" t="str">
        <f>'Místn. FAPPZ_stáje'!E6</f>
        <v xml:space="preserve"> Laboratoře</v>
      </c>
      <c r="D101" s="2" t="s">
        <v>18</v>
      </c>
      <c r="E101" s="2">
        <f>GETPIVOTDATA("m2",'Místn. FAPPZ_stáje'!$E$2,"Využití místnosti"," Laboratoře","navrhovaná četnost","5xT")</f>
        <v>33.6</v>
      </c>
      <c r="F101" s="1" t="str">
        <f>'Místn. FAPPZ_stáje'!E3</f>
        <v>5xT</v>
      </c>
      <c r="G101" s="2">
        <f t="shared" si="6"/>
        <v>33.6</v>
      </c>
      <c r="H101" s="102"/>
      <c r="I101" s="138">
        <f t="shared" si="7"/>
        <v>0</v>
      </c>
    </row>
    <row r="102" spans="1:14" hidden="1" x14ac:dyDescent="0.3">
      <c r="A102" s="2" t="s">
        <v>31</v>
      </c>
      <c r="B102" s="2" t="s">
        <v>19</v>
      </c>
      <c r="C102" s="2" t="str">
        <f>'Místn. FAPPZ_stáje'!E7</f>
        <v xml:space="preserve"> Posluchárna</v>
      </c>
      <c r="D102" s="2" t="s">
        <v>18</v>
      </c>
      <c r="E102" s="2">
        <f>GETPIVOTDATA("m2",'Místn. FAPPZ_stáje'!$E$2,"Využití místnosti"," Posluchárna","navrhovaná četnost","5xT")</f>
        <v>0</v>
      </c>
      <c r="F102" s="1" t="str">
        <f>'Místn. FAPPZ_stáje'!E3</f>
        <v>5xT</v>
      </c>
      <c r="G102" s="2">
        <f t="shared" si="6"/>
        <v>0</v>
      </c>
      <c r="H102" s="102"/>
      <c r="I102" s="138">
        <f t="shared" si="7"/>
        <v>0</v>
      </c>
    </row>
    <row r="103" spans="1:14" x14ac:dyDescent="0.3">
      <c r="A103" s="2" t="s">
        <v>31</v>
      </c>
      <c r="B103" s="2" t="s">
        <v>19</v>
      </c>
      <c r="C103" s="2" t="str">
        <f>'Místn. FAPPZ_stáje'!E8</f>
        <v xml:space="preserve"> Sociální zařízení </v>
      </c>
      <c r="D103" s="2" t="s">
        <v>18</v>
      </c>
      <c r="E103" s="2">
        <f>GETPIVOTDATA("m2",'Místn. FAPPZ_stáje'!$E$2,"Využití místnosti"," Sociální zařízení ","navrhovaná četnost","5xT")</f>
        <v>114.8</v>
      </c>
      <c r="F103" s="1" t="str">
        <f>'Místn. FAPPZ_stáje'!E3</f>
        <v>5xT</v>
      </c>
      <c r="G103" s="2">
        <f t="shared" si="6"/>
        <v>114.8</v>
      </c>
      <c r="H103" s="102"/>
      <c r="I103" s="138">
        <f t="shared" si="7"/>
        <v>0</v>
      </c>
      <c r="N103">
        <f>SUM(E99:E103)</f>
        <v>355.3</v>
      </c>
    </row>
    <row r="104" spans="1:14" ht="30" customHeight="1" x14ac:dyDescent="0.3">
      <c r="C104" s="332" t="s">
        <v>32</v>
      </c>
      <c r="D104" s="332"/>
      <c r="E104" s="310" t="s">
        <v>33</v>
      </c>
      <c r="F104" s="100"/>
      <c r="G104" s="100"/>
      <c r="H104" s="139"/>
      <c r="I104" s="319"/>
    </row>
    <row r="105" spans="1:14" ht="30" customHeight="1" thickBot="1" x14ac:dyDescent="0.35">
      <c r="A105" s="324"/>
      <c r="B105" s="324"/>
      <c r="C105" s="325" t="s">
        <v>34</v>
      </c>
      <c r="D105" s="326" t="s">
        <v>35</v>
      </c>
      <c r="E105" s="327">
        <v>1</v>
      </c>
      <c r="F105" s="327"/>
      <c r="G105" s="327"/>
      <c r="H105" s="102"/>
      <c r="I105" s="328">
        <f>H105*E105</f>
        <v>0</v>
      </c>
      <c r="J105" s="324"/>
      <c r="K105" s="329"/>
    </row>
    <row r="106" spans="1:14" ht="62.1" customHeight="1" x14ac:dyDescent="0.3">
      <c r="C106" s="320" t="s">
        <v>36</v>
      </c>
      <c r="D106" s="136" t="s">
        <v>1489</v>
      </c>
      <c r="E106" s="2">
        <v>300</v>
      </c>
      <c r="F106" s="2"/>
      <c r="G106" s="2"/>
      <c r="H106" s="102"/>
      <c r="I106" s="138">
        <f t="shared" ref="I106:I111" si="8">H106*E106</f>
        <v>0</v>
      </c>
    </row>
    <row r="107" spans="1:14" x14ac:dyDescent="0.3">
      <c r="C107" s="135" t="s">
        <v>37</v>
      </c>
      <c r="D107" s="137" t="s">
        <v>38</v>
      </c>
      <c r="E107" s="2">
        <v>1</v>
      </c>
      <c r="F107" s="2"/>
      <c r="G107" s="2"/>
      <c r="H107" s="102"/>
      <c r="I107" s="138">
        <f t="shared" si="8"/>
        <v>0</v>
      </c>
    </row>
    <row r="108" spans="1:14" x14ac:dyDescent="0.3">
      <c r="C108" s="135" t="s">
        <v>39</v>
      </c>
      <c r="D108" s="137" t="s">
        <v>38</v>
      </c>
      <c r="E108" s="2">
        <v>8000</v>
      </c>
      <c r="F108" s="2"/>
      <c r="G108" s="2"/>
      <c r="H108" s="102"/>
      <c r="I108" s="138">
        <f t="shared" si="8"/>
        <v>0</v>
      </c>
    </row>
    <row r="109" spans="1:14" x14ac:dyDescent="0.3">
      <c r="C109" s="135" t="s">
        <v>40</v>
      </c>
      <c r="D109" s="137" t="s">
        <v>38</v>
      </c>
      <c r="E109" s="138">
        <f>SUM(E2:E103)</f>
        <v>20943.529999999992</v>
      </c>
      <c r="F109" s="138"/>
      <c r="G109" s="138"/>
      <c r="H109" s="102"/>
      <c r="I109" s="138">
        <f t="shared" si="8"/>
        <v>0</v>
      </c>
    </row>
    <row r="110" spans="1:14" x14ac:dyDescent="0.3">
      <c r="C110" s="135" t="s">
        <v>41</v>
      </c>
      <c r="D110" s="137" t="s">
        <v>38</v>
      </c>
      <c r="E110" s="138">
        <v>150</v>
      </c>
      <c r="F110" s="138"/>
      <c r="G110" s="138"/>
      <c r="H110" s="102"/>
      <c r="I110" s="138">
        <f t="shared" si="8"/>
        <v>0</v>
      </c>
    </row>
    <row r="111" spans="1:14" ht="43.2" x14ac:dyDescent="0.3">
      <c r="C111" s="94" t="s">
        <v>42</v>
      </c>
      <c r="D111" s="136" t="s">
        <v>1490</v>
      </c>
      <c r="E111" s="318">
        <v>91</v>
      </c>
      <c r="F111" s="138"/>
      <c r="G111" s="138"/>
      <c r="H111" s="102"/>
      <c r="I111" s="138">
        <f t="shared" si="8"/>
        <v>0</v>
      </c>
    </row>
    <row r="112" spans="1:14" ht="43.2" x14ac:dyDescent="0.3">
      <c r="C112" s="332" t="s">
        <v>43</v>
      </c>
      <c r="D112" s="332"/>
      <c r="E112" s="310" t="s">
        <v>44</v>
      </c>
      <c r="F112" s="100"/>
      <c r="G112" s="100"/>
      <c r="H112" s="139"/>
      <c r="I112" s="319"/>
      <c r="K112" s="217"/>
    </row>
    <row r="113" spans="3:9" x14ac:dyDescent="0.3">
      <c r="C113" s="135" t="s">
        <v>45</v>
      </c>
      <c r="D113" s="137" t="s">
        <v>46</v>
      </c>
      <c r="E113" s="2">
        <v>85</v>
      </c>
      <c r="F113" s="2"/>
      <c r="G113" s="2"/>
      <c r="H113" s="102"/>
      <c r="I113" s="138">
        <f t="shared" ref="I113:I119" si="9">H113*E113</f>
        <v>0</v>
      </c>
    </row>
    <row r="114" spans="3:9" x14ac:dyDescent="0.3">
      <c r="C114" s="135" t="s">
        <v>47</v>
      </c>
      <c r="D114" s="137" t="s">
        <v>46</v>
      </c>
      <c r="E114" s="2">
        <v>100</v>
      </c>
      <c r="F114" s="2"/>
      <c r="G114" s="2"/>
      <c r="H114" s="102"/>
      <c r="I114" s="138">
        <f t="shared" si="9"/>
        <v>0</v>
      </c>
    </row>
    <row r="115" spans="3:9" ht="28.8" x14ac:dyDescent="0.3">
      <c r="C115" s="135" t="s">
        <v>48</v>
      </c>
      <c r="D115" s="137" t="s">
        <v>49</v>
      </c>
      <c r="E115" s="2">
        <v>2200</v>
      </c>
      <c r="F115" s="2"/>
      <c r="G115" s="2"/>
      <c r="H115" s="102"/>
      <c r="I115" s="138">
        <f t="shared" si="9"/>
        <v>0</v>
      </c>
    </row>
    <row r="116" spans="3:9" ht="28.8" x14ac:dyDescent="0.3">
      <c r="C116" s="135" t="s">
        <v>50</v>
      </c>
      <c r="D116" s="137" t="s">
        <v>51</v>
      </c>
      <c r="E116" s="2">
        <v>600</v>
      </c>
      <c r="F116" s="2"/>
      <c r="G116" s="2"/>
      <c r="H116" s="102"/>
      <c r="I116" s="138">
        <f t="shared" si="9"/>
        <v>0</v>
      </c>
    </row>
    <row r="117" spans="3:9" x14ac:dyDescent="0.3">
      <c r="C117" s="135" t="s">
        <v>52</v>
      </c>
      <c r="D117" s="137" t="s">
        <v>49</v>
      </c>
      <c r="E117" s="2">
        <v>1000</v>
      </c>
      <c r="F117" s="2"/>
      <c r="G117" s="2"/>
      <c r="H117" s="102"/>
      <c r="I117" s="138">
        <f t="shared" si="9"/>
        <v>0</v>
      </c>
    </row>
    <row r="118" spans="3:9" ht="28.8" x14ac:dyDescent="0.3">
      <c r="C118" s="135" t="s">
        <v>53</v>
      </c>
      <c r="D118" s="137" t="s">
        <v>49</v>
      </c>
      <c r="E118" s="2">
        <v>1000</v>
      </c>
      <c r="F118" s="2"/>
      <c r="G118" s="2"/>
      <c r="H118" s="102"/>
      <c r="I118" s="138">
        <f t="shared" si="9"/>
        <v>0</v>
      </c>
    </row>
    <row r="119" spans="3:9" x14ac:dyDescent="0.3">
      <c r="C119" s="135" t="s">
        <v>54</v>
      </c>
      <c r="D119" s="137" t="s">
        <v>55</v>
      </c>
      <c r="E119" s="2">
        <v>50</v>
      </c>
      <c r="F119" s="2"/>
      <c r="G119" s="2"/>
      <c r="H119" s="102"/>
      <c r="I119" s="138">
        <f t="shared" si="9"/>
        <v>0</v>
      </c>
    </row>
    <row r="121" spans="3:9" x14ac:dyDescent="0.3">
      <c r="C121" s="146" t="s">
        <v>56</v>
      </c>
      <c r="D121" s="147"/>
      <c r="E121" s="148" t="s">
        <v>57</v>
      </c>
      <c r="H121" s="217"/>
    </row>
    <row r="122" spans="3:9" x14ac:dyDescent="0.3">
      <c r="C122" s="2" t="s">
        <v>8</v>
      </c>
      <c r="D122" s="140">
        <v>0.85</v>
      </c>
      <c r="E122" s="141">
        <f>SUM(I2:I103)*D122</f>
        <v>0</v>
      </c>
    </row>
    <row r="123" spans="3:9" x14ac:dyDescent="0.3">
      <c r="C123" s="137" t="s">
        <v>32</v>
      </c>
      <c r="D123" s="140">
        <v>0.1</v>
      </c>
      <c r="E123" s="141">
        <f>SUM(I105:I111)*D123</f>
        <v>0</v>
      </c>
      <c r="F123" s="217"/>
    </row>
    <row r="124" spans="3:9" x14ac:dyDescent="0.3">
      <c r="C124" s="142" t="s">
        <v>43</v>
      </c>
      <c r="D124" s="140">
        <v>0.05</v>
      </c>
      <c r="E124" s="141">
        <f>SUM(I113:I119)*D124</f>
        <v>0</v>
      </c>
    </row>
    <row r="125" spans="3:9" x14ac:dyDescent="0.3">
      <c r="C125" s="143"/>
      <c r="D125" s="144"/>
      <c r="E125" s="145">
        <f>E124+E123+E122</f>
        <v>0</v>
      </c>
    </row>
  </sheetData>
  <protectedRanges>
    <protectedRange sqref="H106:H107 H109:H111" name="Oblast1_2"/>
    <protectedRange sqref="H113:H119" name="Oblast1_5"/>
    <protectedRange sqref="H105" name="Oblast1"/>
    <protectedRange sqref="H108" name="Oblast1_2_4"/>
  </protectedRanges>
  <mergeCells count="2">
    <mergeCell ref="C104:D104"/>
    <mergeCell ref="C112:D112"/>
  </mergeCells>
  <pageMargins left="0.7" right="0.7" top="0.78740157499999996" bottom="0.78740157499999996" header="0.3" footer="0.3"/>
  <pageSetup paperSize="9" scale="58" fitToHeight="0" orientation="landscape" r:id="rId1"/>
  <ignoredErrors>
    <ignoredError sqref="F63:F6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172"/>
  <sheetViews>
    <sheetView tabSelected="1" topLeftCell="A151" workbookViewId="0">
      <selection activeCell="H153" sqref="H153"/>
    </sheetView>
  </sheetViews>
  <sheetFormatPr defaultRowHeight="14.4" x14ac:dyDescent="0.3"/>
  <cols>
    <col min="1" max="1" width="20.5546875" customWidth="1"/>
    <col min="2" max="2" width="14.21875" customWidth="1"/>
    <col min="3" max="3" width="52.5546875" customWidth="1"/>
    <col min="4" max="4" width="18.77734375" customWidth="1"/>
    <col min="5" max="6" width="15.21875" customWidth="1"/>
    <col min="7" max="7" width="15.21875" hidden="1" customWidth="1"/>
    <col min="8" max="8" width="12.77734375" customWidth="1"/>
    <col min="9" max="9" width="13.77734375" customWidth="1"/>
    <col min="11" max="11" width="11" customWidth="1"/>
    <col min="14" max="14" width="0" hidden="1" customWidth="1"/>
    <col min="16" max="16" width="17.21875" customWidth="1"/>
  </cols>
  <sheetData>
    <row r="1" spans="1:14" ht="43.2" x14ac:dyDescent="0.3">
      <c r="A1" s="100" t="s">
        <v>6</v>
      </c>
      <c r="B1" s="100" t="s">
        <v>7</v>
      </c>
      <c r="C1" s="100" t="s">
        <v>8</v>
      </c>
      <c r="D1" s="100" t="s">
        <v>9</v>
      </c>
      <c r="E1" s="100" t="s">
        <v>10</v>
      </c>
      <c r="F1" s="100" t="s">
        <v>58</v>
      </c>
      <c r="G1" s="100" t="s">
        <v>12</v>
      </c>
      <c r="H1" s="100" t="s">
        <v>13</v>
      </c>
      <c r="I1" s="100" t="s">
        <v>14</v>
      </c>
      <c r="N1" t="s">
        <v>15</v>
      </c>
    </row>
    <row r="2" spans="1:14" hidden="1" x14ac:dyDescent="0.3">
      <c r="A2" s="2" t="s">
        <v>59</v>
      </c>
      <c r="B2" s="2" t="s">
        <v>60</v>
      </c>
      <c r="C2" s="103" t="str">
        <f>'KH 1pp_bez úklidu'!K3</f>
        <v>amfiteátr</v>
      </c>
      <c r="D2" s="2" t="s">
        <v>18</v>
      </c>
      <c r="E2" s="2">
        <f>GETPIVOTDATA("plocha (m2)",'KH 1pp_bez úklidu'!$K$1,"užití","amfiteátr","četnost úklidu","bez úklidu")</f>
        <v>153.4</v>
      </c>
      <c r="F2" s="1" t="str">
        <f>'KH 1pp_bez úklidu'!$K$2</f>
        <v>bez úklidu</v>
      </c>
      <c r="G2" s="2">
        <f>E2</f>
        <v>153.4</v>
      </c>
      <c r="H2" s="102"/>
      <c r="I2" s="138">
        <f t="shared" ref="I2:I29" si="0">E2*H2*21.25</f>
        <v>0</v>
      </c>
    </row>
    <row r="3" spans="1:14" hidden="1" x14ac:dyDescent="0.3">
      <c r="A3" s="2" t="s">
        <v>59</v>
      </c>
      <c r="B3" s="2" t="s">
        <v>60</v>
      </c>
      <c r="C3" s="103" t="str">
        <f>'KH 1pp_bez úklidu'!K4</f>
        <v>chodba</v>
      </c>
      <c r="D3" s="2" t="s">
        <v>18</v>
      </c>
      <c r="E3" s="2">
        <f>GETPIVOTDATA("plocha (m2)",'KH 1pp_bez úklidu'!$K$1,"užití","chodba","četnost úklidu","bez úklidu")</f>
        <v>9.6</v>
      </c>
      <c r="F3" s="1" t="str">
        <f>'KH 1pp_bez úklidu'!$K$2</f>
        <v>bez úklidu</v>
      </c>
      <c r="G3" s="2">
        <f t="shared" ref="G3:G53" si="1">E3</f>
        <v>9.6</v>
      </c>
      <c r="H3" s="102"/>
      <c r="I3" s="138">
        <f t="shared" si="0"/>
        <v>0</v>
      </c>
    </row>
    <row r="4" spans="1:14" hidden="1" x14ac:dyDescent="0.3">
      <c r="A4" s="2" t="s">
        <v>59</v>
      </c>
      <c r="B4" s="2" t="s">
        <v>60</v>
      </c>
      <c r="C4" s="103" t="str">
        <f>'KH 1pp_bez úklidu'!K5</f>
        <v>kotelna</v>
      </c>
      <c r="D4" s="2" t="s">
        <v>18</v>
      </c>
      <c r="E4" s="2">
        <f>GETPIVOTDATA("plocha (m2)",'KH 1pp_bez úklidu'!$K$1,"užití","kotelna","četnost úklidu","bez úklidu")</f>
        <v>43.3</v>
      </c>
      <c r="F4" s="1" t="str">
        <f>'KH 1pp_bez úklidu'!$K$2</f>
        <v>bez úklidu</v>
      </c>
      <c r="G4" s="2">
        <f t="shared" si="1"/>
        <v>43.3</v>
      </c>
      <c r="H4" s="102"/>
      <c r="I4" s="138">
        <f t="shared" si="0"/>
        <v>0</v>
      </c>
    </row>
    <row r="5" spans="1:14" hidden="1" x14ac:dyDescent="0.3">
      <c r="A5" s="2" t="s">
        <v>59</v>
      </c>
      <c r="B5" s="2" t="s">
        <v>60</v>
      </c>
      <c r="C5" s="103" t="str">
        <f>'KH 1pp_bez úklidu'!K6</f>
        <v>kuchyně</v>
      </c>
      <c r="D5" s="2" t="s">
        <v>18</v>
      </c>
      <c r="E5" s="2">
        <f>GETPIVOTDATA("plocha (m2)",'KH 1pp_bez úklidu'!$K$1,"užití","kuchyně","četnost úklidu","bez úklidu")</f>
        <v>22.5</v>
      </c>
      <c r="F5" s="1" t="str">
        <f>'KH 1pp_bez úklidu'!$K$2</f>
        <v>bez úklidu</v>
      </c>
      <c r="G5" s="2">
        <f t="shared" si="1"/>
        <v>22.5</v>
      </c>
      <c r="H5" s="102"/>
      <c r="I5" s="138">
        <f t="shared" si="0"/>
        <v>0</v>
      </c>
    </row>
    <row r="6" spans="1:14" hidden="1" x14ac:dyDescent="0.3">
      <c r="A6" s="2" t="s">
        <v>59</v>
      </c>
      <c r="B6" s="2" t="s">
        <v>60</v>
      </c>
      <c r="C6" s="103" t="str">
        <f>'KH 1pp_bez úklidu'!K7</f>
        <v>sklad</v>
      </c>
      <c r="D6" s="2" t="s">
        <v>18</v>
      </c>
      <c r="E6" s="2">
        <f>GETPIVOTDATA("plocha (m2)",'KH 1pp_bez úklidu'!$K$1,"užití","sklad","četnost úklidu","bez úklidu")</f>
        <v>5.5</v>
      </c>
      <c r="F6" s="1" t="str">
        <f>'KH 1pp_bez úklidu'!$K$2</f>
        <v>bez úklidu</v>
      </c>
      <c r="G6" s="2">
        <f t="shared" si="1"/>
        <v>5.5</v>
      </c>
      <c r="H6" s="102"/>
      <c r="I6" s="138">
        <f t="shared" si="0"/>
        <v>0</v>
      </c>
    </row>
    <row r="7" spans="1:14" hidden="1" x14ac:dyDescent="0.3">
      <c r="A7" s="2" t="s">
        <v>59</v>
      </c>
      <c r="B7" s="2" t="s">
        <v>60</v>
      </c>
      <c r="C7" s="103" t="str">
        <f>'KH 1pp_bez úklidu'!K8</f>
        <v>strojovna VZT</v>
      </c>
      <c r="D7" s="2" t="s">
        <v>18</v>
      </c>
      <c r="E7" s="2">
        <f>GETPIVOTDATA("plocha (m2)",'KH 1pp_bez úklidu'!$K$1,"užití","strojovna VZT","četnost úklidu","bez úklidu")</f>
        <v>117.3</v>
      </c>
      <c r="F7" s="1" t="str">
        <f>'KH 1pp_bez úklidu'!$K$2</f>
        <v>bez úklidu</v>
      </c>
      <c r="G7" s="2">
        <f t="shared" si="1"/>
        <v>117.3</v>
      </c>
      <c r="H7" s="102"/>
      <c r="I7" s="138">
        <f t="shared" si="0"/>
        <v>0</v>
      </c>
    </row>
    <row r="8" spans="1:14" hidden="1" x14ac:dyDescent="0.3">
      <c r="A8" s="2" t="s">
        <v>59</v>
      </c>
      <c r="B8" s="2" t="s">
        <v>60</v>
      </c>
      <c r="C8" s="103" t="str">
        <f>'KH 1pp_bez úklidu'!K9</f>
        <v>studentský klub</v>
      </c>
      <c r="D8" s="2" t="s">
        <v>18</v>
      </c>
      <c r="E8" s="2">
        <f>GETPIVOTDATA("plocha (m2)",'KH 1pp_bez úklidu'!$K$1,"užití","studentský klub","četnost úklidu","bez úklidu")</f>
        <v>170.5</v>
      </c>
      <c r="F8" s="1" t="str">
        <f>'KH 1pp_bez úklidu'!$K$2</f>
        <v>bez úklidu</v>
      </c>
      <c r="G8" s="2">
        <f t="shared" si="1"/>
        <v>170.5</v>
      </c>
      <c r="H8" s="102"/>
      <c r="I8" s="138">
        <f t="shared" si="0"/>
        <v>0</v>
      </c>
    </row>
    <row r="9" spans="1:14" hidden="1" x14ac:dyDescent="0.3">
      <c r="A9" s="2" t="s">
        <v>59</v>
      </c>
      <c r="B9" s="2" t="s">
        <v>60</v>
      </c>
      <c r="C9" s="103" t="str">
        <f>'KH 1pp_bez úklidu'!K10</f>
        <v>šatna personál</v>
      </c>
      <c r="D9" s="2" t="s">
        <v>18</v>
      </c>
      <c r="E9" s="2">
        <f>GETPIVOTDATA("plocha (m2)",'KH 1pp_bez úklidu'!$K$1,"užití","šatna personál","četnost úklidu","bez úklidu")</f>
        <v>8.8000000000000007</v>
      </c>
      <c r="F9" s="1" t="str">
        <f>'KH 1pp_bez úklidu'!$K$2</f>
        <v>bez úklidu</v>
      </c>
      <c r="G9" s="2">
        <f t="shared" si="1"/>
        <v>8.8000000000000007</v>
      </c>
      <c r="H9" s="102"/>
      <c r="I9" s="138">
        <f t="shared" si="0"/>
        <v>0</v>
      </c>
    </row>
    <row r="10" spans="1:14" hidden="1" x14ac:dyDescent="0.3">
      <c r="A10" s="2" t="s">
        <v>59</v>
      </c>
      <c r="B10" s="2" t="s">
        <v>60</v>
      </c>
      <c r="C10" s="103" t="str">
        <f>'KH 1pp_bez úklidu'!K11</f>
        <v>úklidová komora</v>
      </c>
      <c r="D10" s="2" t="s">
        <v>18</v>
      </c>
      <c r="E10" s="2">
        <f>GETPIVOTDATA("plocha (m2)",'KH 1pp_bez úklidu'!$K$1,"užití","úklidová komora","četnost úklidu","bez úklidu")</f>
        <v>3.3</v>
      </c>
      <c r="F10" s="1" t="str">
        <f>'KH 1pp_bez úklidu'!$K$2</f>
        <v>bez úklidu</v>
      </c>
      <c r="G10" s="2">
        <f t="shared" si="1"/>
        <v>3.3</v>
      </c>
      <c r="H10" s="102"/>
      <c r="I10" s="138">
        <f t="shared" si="0"/>
        <v>0</v>
      </c>
    </row>
    <row r="11" spans="1:14" hidden="1" x14ac:dyDescent="0.3">
      <c r="A11" s="2" t="s">
        <v>59</v>
      </c>
      <c r="B11" s="2" t="s">
        <v>60</v>
      </c>
      <c r="C11" s="103" t="str">
        <f>'KH 1pp_bez úklidu'!K12</f>
        <v>umývárna muži</v>
      </c>
      <c r="D11" s="2" t="s">
        <v>18</v>
      </c>
      <c r="E11" s="2">
        <f>GETPIVOTDATA("plocha (m2)",'KH 1pp_bez úklidu'!$K$1,"užití","umývárna muži","četnost úklidu","bez úklidu")</f>
        <v>2.5</v>
      </c>
      <c r="F11" s="1" t="str">
        <f>'KH 1pp_bez úklidu'!$K$2</f>
        <v>bez úklidu</v>
      </c>
      <c r="G11" s="2">
        <f t="shared" si="1"/>
        <v>2.5</v>
      </c>
      <c r="H11" s="102"/>
      <c r="I11" s="138">
        <f t="shared" si="0"/>
        <v>0</v>
      </c>
    </row>
    <row r="12" spans="1:14" hidden="1" x14ac:dyDescent="0.3">
      <c r="A12" s="2" t="s">
        <v>59</v>
      </c>
      <c r="B12" s="2" t="s">
        <v>60</v>
      </c>
      <c r="C12" s="103" t="str">
        <f>'KH 1pp_bez úklidu'!K13</f>
        <v>umývárna personál</v>
      </c>
      <c r="D12" s="2" t="s">
        <v>18</v>
      </c>
      <c r="E12" s="2">
        <f>GETPIVOTDATA("plocha (m2)",'KH 1pp_bez úklidu'!$K$1,"užití","umývárna personál","četnost úklidu","bez úklidu")</f>
        <v>8.3000000000000007</v>
      </c>
      <c r="F12" s="1" t="str">
        <f>'KH 1pp_bez úklidu'!$K$2</f>
        <v>bez úklidu</v>
      </c>
      <c r="G12" s="2">
        <f t="shared" si="1"/>
        <v>8.3000000000000007</v>
      </c>
      <c r="H12" s="102"/>
      <c r="I12" s="138">
        <f t="shared" si="0"/>
        <v>0</v>
      </c>
    </row>
    <row r="13" spans="1:14" hidden="1" x14ac:dyDescent="0.3">
      <c r="A13" s="2" t="s">
        <v>59</v>
      </c>
      <c r="B13" s="2" t="s">
        <v>60</v>
      </c>
      <c r="C13" s="103" t="str">
        <f>'KH 1pp_bez úklidu'!K14</f>
        <v>umývárna ženy</v>
      </c>
      <c r="D13" s="2" t="s">
        <v>18</v>
      </c>
      <c r="E13" s="2">
        <f>GETPIVOTDATA("plocha (m2)",'KH 1pp_bez úklidu'!$K$1,"užití","umývárna ženy","četnost úklidu","bez úklidu")</f>
        <v>2.7</v>
      </c>
      <c r="F13" s="1" t="str">
        <f>'KH 1pp_bez úklidu'!$K$2</f>
        <v>bez úklidu</v>
      </c>
      <c r="G13" s="2">
        <f t="shared" si="1"/>
        <v>2.7</v>
      </c>
      <c r="H13" s="102"/>
      <c r="I13" s="138">
        <f t="shared" si="0"/>
        <v>0</v>
      </c>
    </row>
    <row r="14" spans="1:14" hidden="1" x14ac:dyDescent="0.3">
      <c r="A14" s="2" t="s">
        <v>59</v>
      </c>
      <c r="B14" s="2" t="s">
        <v>60</v>
      </c>
      <c r="C14" s="103" t="str">
        <f>'KH 1pp_bez úklidu'!K15</f>
        <v>vzduchová komora</v>
      </c>
      <c r="D14" s="2" t="s">
        <v>18</v>
      </c>
      <c r="E14" s="2">
        <f>GETPIVOTDATA("plocha (m2)",'KH 1pp_bez úklidu'!$K$1,"užití","vzduchová komora","četnost úklidu","bez úklidu")</f>
        <v>113.5</v>
      </c>
      <c r="F14" s="1" t="str">
        <f>'KH 1pp_bez úklidu'!$K$2</f>
        <v>bez úklidu</v>
      </c>
      <c r="G14" s="2">
        <f t="shared" si="1"/>
        <v>113.5</v>
      </c>
      <c r="H14" s="102"/>
      <c r="I14" s="138">
        <f t="shared" si="0"/>
        <v>0</v>
      </c>
    </row>
    <row r="15" spans="1:14" hidden="1" x14ac:dyDescent="0.3">
      <c r="A15" s="2" t="s">
        <v>59</v>
      </c>
      <c r="B15" s="2" t="s">
        <v>60</v>
      </c>
      <c r="C15" s="103" t="str">
        <f>'KH 1pp_bez úklidu'!K16</f>
        <v>wc muži</v>
      </c>
      <c r="D15" s="2" t="s">
        <v>18</v>
      </c>
      <c r="E15" s="2">
        <f>GETPIVOTDATA("plocha (m2)",'KH 1pp_bez úklidu'!$K$1,"užití","wc muži","četnost úklidu","bez úklidu")</f>
        <v>8</v>
      </c>
      <c r="F15" s="1" t="str">
        <f>'KH 1pp_bez úklidu'!$K$2</f>
        <v>bez úklidu</v>
      </c>
      <c r="G15" s="2">
        <f t="shared" si="1"/>
        <v>8</v>
      </c>
      <c r="H15" s="102"/>
      <c r="I15" s="138">
        <f t="shared" si="0"/>
        <v>0</v>
      </c>
    </row>
    <row r="16" spans="1:14" hidden="1" x14ac:dyDescent="0.3">
      <c r="A16" s="2" t="s">
        <v>59</v>
      </c>
      <c r="B16" s="2" t="s">
        <v>60</v>
      </c>
      <c r="C16" s="103" t="str">
        <f>'KH 1pp_bez úklidu'!K17</f>
        <v>wc personál</v>
      </c>
      <c r="D16" s="2" t="s">
        <v>18</v>
      </c>
      <c r="E16" s="2">
        <f>GETPIVOTDATA("plocha (m2)",'KH 1pp_bez úklidu'!$K$1,"užití","wc personál","četnost úklidu","bez úklidu")</f>
        <v>1.3</v>
      </c>
      <c r="F16" s="1" t="str">
        <f>'KH 1pp_bez úklidu'!$K$2</f>
        <v>bez úklidu</v>
      </c>
      <c r="G16" s="2">
        <f t="shared" si="1"/>
        <v>1.3</v>
      </c>
      <c r="H16" s="102"/>
      <c r="I16" s="138">
        <f t="shared" si="0"/>
        <v>0</v>
      </c>
    </row>
    <row r="17" spans="1:14" hidden="1" x14ac:dyDescent="0.3">
      <c r="A17" s="2" t="s">
        <v>59</v>
      </c>
      <c r="B17" s="2" t="s">
        <v>60</v>
      </c>
      <c r="C17" s="103" t="str">
        <f>'KH 1pp_bez úklidu'!K18</f>
        <v>wc ženy</v>
      </c>
      <c r="D17" s="2" t="s">
        <v>18</v>
      </c>
      <c r="E17" s="2">
        <f>GETPIVOTDATA("plocha (m2)",'KH 1pp_bez úklidu'!$K$1,"užití","wc ženy","četnost úklidu","bez úklidu")</f>
        <v>6.1</v>
      </c>
      <c r="F17" s="1" t="str">
        <f>'KH 1pp_bez úklidu'!$K$2</f>
        <v>bez úklidu</v>
      </c>
      <c r="G17" s="2">
        <f t="shared" si="1"/>
        <v>6.1</v>
      </c>
      <c r="H17" s="102"/>
      <c r="I17" s="138">
        <f t="shared" si="0"/>
        <v>0</v>
      </c>
    </row>
    <row r="18" spans="1:14" hidden="1" x14ac:dyDescent="0.3">
      <c r="A18" s="2" t="s">
        <v>59</v>
      </c>
      <c r="B18" s="2" t="s">
        <v>60</v>
      </c>
      <c r="C18" s="103" t="str">
        <f>'KH 1pp_bez úklidu'!K19</f>
        <v>wc-bezbariérové</v>
      </c>
      <c r="D18" s="2" t="s">
        <v>18</v>
      </c>
      <c r="E18" s="2">
        <f>GETPIVOTDATA("plocha (m2)",'KH 1pp_bez úklidu'!$K$1,"užití","wc-bezbariérové","četnost úklidu","bez úklidu")</f>
        <v>1.9</v>
      </c>
      <c r="F18" s="1" t="str">
        <f>'KH 1pp_bez úklidu'!$K$2</f>
        <v>bez úklidu</v>
      </c>
      <c r="G18" s="2">
        <f t="shared" si="1"/>
        <v>1.9</v>
      </c>
      <c r="H18" s="102"/>
      <c r="I18" s="138">
        <f t="shared" si="0"/>
        <v>0</v>
      </c>
    </row>
    <row r="19" spans="1:14" hidden="1" x14ac:dyDescent="0.3">
      <c r="A19" s="2" t="s">
        <v>59</v>
      </c>
      <c r="B19" s="2" t="s">
        <v>60</v>
      </c>
      <c r="C19" s="103" t="str">
        <f>'KH 1pp_bez úklidu'!K20</f>
        <v>zádveří</v>
      </c>
      <c r="D19" s="2" t="s">
        <v>18</v>
      </c>
      <c r="E19" s="2">
        <f>GETPIVOTDATA("plocha (m2)",'KH 1pp_bez úklidu'!$K$1,"užití","zádveří","četnost úklidu","bez úklidu")</f>
        <v>8.3000000000000007</v>
      </c>
      <c r="F19" s="1" t="str">
        <f>'KH 1pp_bez úklidu'!$K$2</f>
        <v>bez úklidu</v>
      </c>
      <c r="G19" s="2">
        <f t="shared" si="1"/>
        <v>8.3000000000000007</v>
      </c>
      <c r="H19" s="102"/>
      <c r="I19" s="138">
        <f t="shared" si="0"/>
        <v>0</v>
      </c>
      <c r="N19">
        <f>SUM(E2:E19)</f>
        <v>686.79999999999984</v>
      </c>
    </row>
    <row r="20" spans="1:14" hidden="1" x14ac:dyDescent="0.3">
      <c r="A20" s="2" t="s">
        <v>59</v>
      </c>
      <c r="B20" s="2" t="s">
        <v>61</v>
      </c>
      <c r="C20" s="103" t="str">
        <f>'KH 1 np'!K3</f>
        <v>hlavní vstup</v>
      </c>
      <c r="D20" s="2" t="s">
        <v>18</v>
      </c>
      <c r="E20" s="2">
        <f>GETPIVOTDATA("plocha (m2)",'KH 1 np'!$K$1,"užití","hlavní vstup","četnost úklidu
počet dní v týdnu",0)</f>
        <v>29.9</v>
      </c>
      <c r="F20" s="1">
        <f>'KH 1 np'!$K$2</f>
        <v>0</v>
      </c>
      <c r="G20" s="2">
        <f t="shared" si="1"/>
        <v>29.9</v>
      </c>
      <c r="H20" s="102"/>
      <c r="I20" s="138">
        <f t="shared" si="0"/>
        <v>0</v>
      </c>
    </row>
    <row r="21" spans="1:14" hidden="1" x14ac:dyDescent="0.3">
      <c r="A21" s="2" t="s">
        <v>59</v>
      </c>
      <c r="B21" s="2" t="s">
        <v>61</v>
      </c>
      <c r="C21" s="103" t="str">
        <f>'KH 1 np'!K4</f>
        <v>krytý chodník</v>
      </c>
      <c r="D21" s="2" t="s">
        <v>18</v>
      </c>
      <c r="E21" s="2">
        <f>GETPIVOTDATA("plocha (m2)",'KH 1 np'!$K$1,"užití","krytý chodník","četnost úklidu
počet dní v týdnu",0)</f>
        <v>102.3</v>
      </c>
      <c r="F21" s="1">
        <f>'KH 1 np'!$K$2</f>
        <v>0</v>
      </c>
      <c r="G21" s="2">
        <f t="shared" si="1"/>
        <v>102.3</v>
      </c>
      <c r="H21" s="102"/>
      <c r="I21" s="138">
        <f t="shared" si="0"/>
        <v>0</v>
      </c>
    </row>
    <row r="22" spans="1:14" hidden="1" x14ac:dyDescent="0.3">
      <c r="A22" s="2" t="s">
        <v>59</v>
      </c>
      <c r="B22" s="2" t="s">
        <v>61</v>
      </c>
      <c r="C22" s="103" t="str">
        <f>'KH 1 np'!K5</f>
        <v>obč. - wc personál</v>
      </c>
      <c r="D22" s="2" t="s">
        <v>18</v>
      </c>
      <c r="E22" s="2">
        <f>GETPIVOTDATA("plocha (m2)",'KH 1 np'!$K$1,"užití","obč. - wc personál","četnost úklidu
počet dní v týdnu",0)</f>
        <v>2</v>
      </c>
      <c r="F22" s="1">
        <f>'KH 1 np'!$K$2</f>
        <v>0</v>
      </c>
      <c r="G22" s="2">
        <f t="shared" si="1"/>
        <v>2</v>
      </c>
      <c r="H22" s="102"/>
      <c r="I22" s="138">
        <f t="shared" si="0"/>
        <v>0</v>
      </c>
    </row>
    <row r="23" spans="1:14" hidden="1" x14ac:dyDescent="0.3">
      <c r="A23" s="2" t="s">
        <v>59</v>
      </c>
      <c r="B23" s="2" t="s">
        <v>61</v>
      </c>
      <c r="C23" s="103" t="str">
        <f>'KH 1 np'!K6</f>
        <v>občerstvení - prodej</v>
      </c>
      <c r="D23" s="2" t="s">
        <v>18</v>
      </c>
      <c r="E23" s="2">
        <f>GETPIVOTDATA("plocha (m2)",'KH 1 np'!$K$1,"užití","občerstvení - prodej","četnost úklidu
počet dní v týdnu",0)</f>
        <v>22.8</v>
      </c>
      <c r="F23" s="1">
        <f>'KH 1 np'!$K$2</f>
        <v>0</v>
      </c>
      <c r="G23" s="2">
        <f t="shared" si="1"/>
        <v>22.8</v>
      </c>
      <c r="H23" s="102"/>
      <c r="I23" s="138">
        <f t="shared" si="0"/>
        <v>0</v>
      </c>
    </row>
    <row r="24" spans="1:14" hidden="1" x14ac:dyDescent="0.3">
      <c r="A24" s="2" t="s">
        <v>59</v>
      </c>
      <c r="B24" s="2" t="s">
        <v>61</v>
      </c>
      <c r="C24" s="103" t="str">
        <f>'KH 1 np'!K7</f>
        <v>občerstvení - sklad</v>
      </c>
      <c r="D24" s="2" t="s">
        <v>18</v>
      </c>
      <c r="E24" s="2">
        <f>GETPIVOTDATA("plocha (m2)",'KH 1 np'!$K$1,"užití","občerstvení - sklad","četnost úklidu
počet dní v týdnu",0)</f>
        <v>12.3</v>
      </c>
      <c r="F24" s="1">
        <f>'KH 1 np'!$K$2</f>
        <v>0</v>
      </c>
      <c r="G24" s="2">
        <f t="shared" si="1"/>
        <v>12.3</v>
      </c>
      <c r="H24" s="102"/>
      <c r="I24" s="138">
        <f t="shared" si="0"/>
        <v>0</v>
      </c>
    </row>
    <row r="25" spans="1:14" hidden="1" x14ac:dyDescent="0.3">
      <c r="A25" s="2" t="s">
        <v>59</v>
      </c>
      <c r="B25" s="2" t="s">
        <v>61</v>
      </c>
      <c r="C25" s="103" t="str">
        <f>'KH 1 np'!K8</f>
        <v>občerstvení - šatna</v>
      </c>
      <c r="D25" s="2" t="s">
        <v>18</v>
      </c>
      <c r="E25" s="2">
        <f>GETPIVOTDATA("plocha (m2)",'KH 1 np'!$K$1,"užití","občerstvení - šatna","četnost úklidu
počet dní v týdnu",0)</f>
        <v>5.2</v>
      </c>
      <c r="F25" s="1">
        <f>'KH 1 np'!$K$2</f>
        <v>0</v>
      </c>
      <c r="G25" s="2">
        <f t="shared" si="1"/>
        <v>5.2</v>
      </c>
      <c r="H25" s="102"/>
      <c r="I25" s="138">
        <f t="shared" si="0"/>
        <v>0</v>
      </c>
    </row>
    <row r="26" spans="1:14" hidden="1" x14ac:dyDescent="0.3">
      <c r="A26" s="2" t="s">
        <v>59</v>
      </c>
      <c r="B26" s="2" t="s">
        <v>61</v>
      </c>
      <c r="C26" s="103" t="str">
        <f>'KH 1 np'!K9</f>
        <v>přípravna přednášejícího</v>
      </c>
      <c r="D26" s="2" t="s">
        <v>18</v>
      </c>
      <c r="E26" s="2">
        <f>GETPIVOTDATA("plocha (m2)",'KH 1 np'!$K$1,"užití","přípravna přednášejícího","četnost úklidu
počet dní v týdnu",0)</f>
        <v>6.2</v>
      </c>
      <c r="F26" s="1">
        <f>'KH 1 np'!$K$2</f>
        <v>0</v>
      </c>
      <c r="G26" s="2">
        <f t="shared" si="1"/>
        <v>6.2</v>
      </c>
      <c r="H26" s="102"/>
      <c r="I26" s="138">
        <f t="shared" si="0"/>
        <v>0</v>
      </c>
    </row>
    <row r="27" spans="1:14" hidden="1" x14ac:dyDescent="0.3">
      <c r="A27" s="2" t="s">
        <v>59</v>
      </c>
      <c r="B27" s="2" t="s">
        <v>61</v>
      </c>
      <c r="C27" s="103" t="str">
        <f>'KH 1 np'!K10</f>
        <v>úklidová komora</v>
      </c>
      <c r="D27" s="2" t="s">
        <v>18</v>
      </c>
      <c r="E27" s="2">
        <f>GETPIVOTDATA("plocha (m2)",'KH 1 np'!$K$1,"užití","úklidová komora","četnost úklidu
počet dní v týdnu",0)</f>
        <v>1.6</v>
      </c>
      <c r="F27" s="1">
        <f>'KH 1 np'!$K$2</f>
        <v>0</v>
      </c>
      <c r="G27" s="2">
        <f t="shared" si="1"/>
        <v>1.6</v>
      </c>
      <c r="H27" s="102"/>
      <c r="I27" s="138">
        <f t="shared" si="0"/>
        <v>0</v>
      </c>
    </row>
    <row r="28" spans="1:14" hidden="1" x14ac:dyDescent="0.3">
      <c r="A28" s="2" t="s">
        <v>59</v>
      </c>
      <c r="B28" s="2" t="s">
        <v>61</v>
      </c>
      <c r="C28" s="103" t="str">
        <f>'KH 1 np'!K11</f>
        <v>volný prostor pod galerií</v>
      </c>
      <c r="D28" s="2" t="s">
        <v>18</v>
      </c>
      <c r="E28" s="2">
        <f>GETPIVOTDATA("plocha (m2)",'KH 1 np'!$K$1,"užití","volný prostor pod galerií","četnost úklidu
počet dní v týdnu",0)</f>
        <v>16.7</v>
      </c>
      <c r="F28" s="1">
        <f>'KH 1 np'!$K$2</f>
        <v>0</v>
      </c>
      <c r="G28" s="2">
        <f t="shared" si="1"/>
        <v>16.7</v>
      </c>
      <c r="H28" s="102"/>
      <c r="I28" s="138">
        <f t="shared" si="0"/>
        <v>0</v>
      </c>
    </row>
    <row r="29" spans="1:14" hidden="1" x14ac:dyDescent="0.3">
      <c r="A29" s="2" t="s">
        <v>59</v>
      </c>
      <c r="B29" s="2" t="s">
        <v>61</v>
      </c>
      <c r="C29" s="103" t="str">
        <f>'KH 1 np'!K13</f>
        <v>foyer-výstavní plocha</v>
      </c>
      <c r="D29" s="2" t="s">
        <v>18</v>
      </c>
      <c r="E29" s="2">
        <f>GETPIVOTDATA("plocha (m2)",'KH 1 np'!$K$1,"užití","foyer-výstavní plocha","četnost úklidu
počet dní v týdnu",3)</f>
        <v>616.79999999999995</v>
      </c>
      <c r="F29" s="1">
        <f>'KH 1 np'!$K$12</f>
        <v>3</v>
      </c>
      <c r="G29" s="2">
        <f t="shared" si="1"/>
        <v>616.79999999999995</v>
      </c>
      <c r="H29" s="102"/>
      <c r="I29" s="138">
        <f t="shared" si="0"/>
        <v>0</v>
      </c>
    </row>
    <row r="30" spans="1:14" x14ac:dyDescent="0.3">
      <c r="A30" s="2" t="s">
        <v>59</v>
      </c>
      <c r="B30" s="2" t="s">
        <v>61</v>
      </c>
      <c r="C30" s="103" t="str">
        <f>'KH 1 np'!K14</f>
        <v>galerie</v>
      </c>
      <c r="D30" s="2" t="s">
        <v>18</v>
      </c>
      <c r="E30" s="2">
        <f>GETPIVOTDATA("plocha (m2)",'KH 1 np'!$K$1,"užití","galerie","četnost úklidu
počet dní v týdnu",3)</f>
        <v>39.799999999999997</v>
      </c>
      <c r="F30" s="1">
        <v>3</v>
      </c>
      <c r="G30" s="2">
        <f t="shared" si="1"/>
        <v>39.799999999999997</v>
      </c>
      <c r="H30" s="102"/>
      <c r="I30" s="138">
        <f>E30*H30*21.25</f>
        <v>0</v>
      </c>
    </row>
    <row r="31" spans="1:14" x14ac:dyDescent="0.3">
      <c r="A31" s="2" t="s">
        <v>59</v>
      </c>
      <c r="B31" s="2" t="s">
        <v>61</v>
      </c>
      <c r="C31" s="103" t="str">
        <f>'KH 1 np'!K15</f>
        <v>chodba</v>
      </c>
      <c r="D31" s="2" t="s">
        <v>18</v>
      </c>
      <c r="E31" s="2">
        <f>GETPIVOTDATA("plocha (m2)",'KH 1 np'!$K$1,"užití","chodba","četnost úklidu
počet dní v týdnu",3)</f>
        <v>54.1</v>
      </c>
      <c r="F31" s="1">
        <f>'KH 1 np'!$K$12</f>
        <v>3</v>
      </c>
      <c r="G31" s="2">
        <f t="shared" si="1"/>
        <v>54.1</v>
      </c>
      <c r="H31" s="102"/>
      <c r="I31" s="138">
        <f t="shared" ref="I31:I79" si="2">E31*H31*21.25</f>
        <v>0</v>
      </c>
    </row>
    <row r="32" spans="1:14" x14ac:dyDescent="0.3">
      <c r="A32" s="2" t="s">
        <v>59</v>
      </c>
      <c r="B32" s="2" t="s">
        <v>61</v>
      </c>
      <c r="C32" s="103" t="str">
        <f>'KH 1 np'!K16</f>
        <v>podium</v>
      </c>
      <c r="D32" s="2" t="s">
        <v>18</v>
      </c>
      <c r="E32" s="2">
        <f>GETPIVOTDATA("plocha (m2)",'KH 1 np'!$K$1,"užití","podium","četnost úklidu
počet dní v týdnu",3)</f>
        <v>32.799999999999997</v>
      </c>
      <c r="F32" s="1">
        <f>'KH 1 np'!$K$12</f>
        <v>3</v>
      </c>
      <c r="G32" s="2">
        <f t="shared" si="1"/>
        <v>32.799999999999997</v>
      </c>
      <c r="H32" s="102"/>
      <c r="I32" s="138">
        <f t="shared" si="2"/>
        <v>0</v>
      </c>
    </row>
    <row r="33" spans="1:14" x14ac:dyDescent="0.3">
      <c r="A33" s="2" t="s">
        <v>59</v>
      </c>
      <c r="B33" s="2" t="s">
        <v>61</v>
      </c>
      <c r="C33" s="103" t="str">
        <f>'KH 1 np'!K17</f>
        <v>zádveří</v>
      </c>
      <c r="D33" s="2" t="s">
        <v>18</v>
      </c>
      <c r="E33" s="2">
        <f>GETPIVOTDATA("plocha (m2)",'KH 1 np'!$K$1,"užití","zádveří","četnost úklidu
počet dní v týdnu",3)</f>
        <v>4</v>
      </c>
      <c r="F33" s="1">
        <f>'KH 1 np'!$K$12</f>
        <v>3</v>
      </c>
      <c r="G33" s="2">
        <f t="shared" si="1"/>
        <v>4</v>
      </c>
      <c r="H33" s="102"/>
      <c r="I33" s="138">
        <f t="shared" si="2"/>
        <v>0</v>
      </c>
    </row>
    <row r="34" spans="1:14" x14ac:dyDescent="0.3">
      <c r="A34" s="2" t="s">
        <v>59</v>
      </c>
      <c r="B34" s="2" t="s">
        <v>61</v>
      </c>
      <c r="C34" s="103" t="str">
        <f>'KH 1 np'!K19</f>
        <v>chodba wc</v>
      </c>
      <c r="D34" s="2" t="s">
        <v>18</v>
      </c>
      <c r="E34" s="2">
        <f>GETPIVOTDATA("plocha (m2)",'KH 1 np'!$K$1,"užití","chodba wc","četnost úklidu
počet dní v týdnu",5)</f>
        <v>3.8</v>
      </c>
      <c r="F34" s="1">
        <f>'KH 1 np'!$K$18</f>
        <v>5</v>
      </c>
      <c r="G34" s="2">
        <f t="shared" si="1"/>
        <v>3.8</v>
      </c>
      <c r="H34" s="102"/>
      <c r="I34" s="138">
        <f t="shared" si="2"/>
        <v>0</v>
      </c>
    </row>
    <row r="35" spans="1:14" x14ac:dyDescent="0.3">
      <c r="A35" s="2" t="s">
        <v>59</v>
      </c>
      <c r="B35" s="2" t="s">
        <v>61</v>
      </c>
      <c r="C35" s="103" t="str">
        <f>'KH 1 np'!K20</f>
        <v>přednáškový sál</v>
      </c>
      <c r="D35" s="2" t="s">
        <v>18</v>
      </c>
      <c r="E35" s="2">
        <f>GETPIVOTDATA("plocha (m2)",'KH 1 np'!$K$1,"užití","přednáškový sál","četnost úklidu
počet dní v týdnu",5)</f>
        <v>171.6</v>
      </c>
      <c r="F35" s="1">
        <f>'KH 1 np'!$K$18</f>
        <v>5</v>
      </c>
      <c r="G35" s="2">
        <f t="shared" si="1"/>
        <v>171.6</v>
      </c>
      <c r="H35" s="102"/>
      <c r="I35" s="138">
        <f t="shared" si="2"/>
        <v>0</v>
      </c>
    </row>
    <row r="36" spans="1:14" x14ac:dyDescent="0.3">
      <c r="A36" s="2" t="s">
        <v>59</v>
      </c>
      <c r="B36" s="2" t="s">
        <v>61</v>
      </c>
      <c r="C36" s="103" t="str">
        <f>'KH 1 np'!K21</f>
        <v>umývárna muži</v>
      </c>
      <c r="D36" s="2" t="s">
        <v>18</v>
      </c>
      <c r="E36" s="2">
        <f>GETPIVOTDATA("plocha (m2)",'KH 1 np'!$K$1,"užití","umývárna muži","četnost úklidu
počet dní v týdnu",5)</f>
        <v>2.6</v>
      </c>
      <c r="F36" s="1">
        <f>'KH 1 np'!$K$18</f>
        <v>5</v>
      </c>
      <c r="G36" s="2">
        <f t="shared" si="1"/>
        <v>2.6</v>
      </c>
      <c r="H36" s="102"/>
      <c r="I36" s="138">
        <f t="shared" si="2"/>
        <v>0</v>
      </c>
    </row>
    <row r="37" spans="1:14" x14ac:dyDescent="0.3">
      <c r="A37" s="2" t="s">
        <v>59</v>
      </c>
      <c r="B37" s="2" t="s">
        <v>61</v>
      </c>
      <c r="C37" s="103" t="str">
        <f>'KH 1 np'!K22</f>
        <v>umývárna ženy</v>
      </c>
      <c r="D37" s="2" t="s">
        <v>18</v>
      </c>
      <c r="E37" s="2">
        <f>GETPIVOTDATA("plocha (m2)",'KH 1 np'!$K$1,"užití","umývárna ženy","četnost úklidu
počet dní v týdnu",5)</f>
        <v>2.6</v>
      </c>
      <c r="F37" s="1">
        <f>'KH 1 np'!$K$18</f>
        <v>5</v>
      </c>
      <c r="G37" s="2">
        <f t="shared" si="1"/>
        <v>2.6</v>
      </c>
      <c r="H37" s="102"/>
      <c r="I37" s="138">
        <f t="shared" si="2"/>
        <v>0</v>
      </c>
    </row>
    <row r="38" spans="1:14" x14ac:dyDescent="0.3">
      <c r="A38" s="2" t="s">
        <v>59</v>
      </c>
      <c r="B38" s="2" t="s">
        <v>61</v>
      </c>
      <c r="C38" s="103" t="str">
        <f>'KH 1 np'!K23</f>
        <v>wc - bezbariérové</v>
      </c>
      <c r="D38" s="2" t="s">
        <v>18</v>
      </c>
      <c r="E38" s="2">
        <f>GETPIVOTDATA("plocha (m2)",'KH 1 np'!$K$1,"užití","wc - bezbariérové","četnost úklidu
počet dní v týdnu",5)</f>
        <v>2</v>
      </c>
      <c r="F38" s="1">
        <f>'KH 1 np'!$K$18</f>
        <v>5</v>
      </c>
      <c r="G38" s="2">
        <f t="shared" si="1"/>
        <v>2</v>
      </c>
      <c r="H38" s="102"/>
      <c r="I38" s="138">
        <f t="shared" si="2"/>
        <v>0</v>
      </c>
    </row>
    <row r="39" spans="1:14" x14ac:dyDescent="0.3">
      <c r="A39" s="2" t="s">
        <v>59</v>
      </c>
      <c r="B39" s="2" t="s">
        <v>61</v>
      </c>
      <c r="C39" s="103" t="str">
        <f>'KH 1 np'!K24</f>
        <v>wc muži</v>
      </c>
      <c r="D39" s="2" t="s">
        <v>18</v>
      </c>
      <c r="E39" s="2">
        <f>GETPIVOTDATA("plocha (m2)",'KH 1 np'!$K$1,"užití","wc muži","četnost úklidu
počet dní v týdnu",5)</f>
        <v>7</v>
      </c>
      <c r="F39" s="1">
        <f>'KH 1 np'!$K$18</f>
        <v>5</v>
      </c>
      <c r="G39" s="2">
        <f t="shared" si="1"/>
        <v>7</v>
      </c>
      <c r="H39" s="102"/>
      <c r="I39" s="138">
        <f t="shared" si="2"/>
        <v>0</v>
      </c>
    </row>
    <row r="40" spans="1:14" x14ac:dyDescent="0.3">
      <c r="A40" s="2" t="s">
        <v>59</v>
      </c>
      <c r="B40" s="2" t="s">
        <v>61</v>
      </c>
      <c r="C40" s="103" t="str">
        <f>'KH 1 np'!K25</f>
        <v>wc ženy</v>
      </c>
      <c r="D40" s="2" t="s">
        <v>18</v>
      </c>
      <c r="E40" s="2">
        <f>GETPIVOTDATA("plocha (m2)",'KH 1 np'!$K$1,"užití","wc ženy","četnost úklidu
počet dní v týdnu",5)</f>
        <v>10.199999999999999</v>
      </c>
      <c r="F40" s="1">
        <f>'KH 1 np'!$K$18</f>
        <v>5</v>
      </c>
      <c r="G40" s="2">
        <f t="shared" si="1"/>
        <v>10.199999999999999</v>
      </c>
      <c r="H40" s="102"/>
      <c r="I40" s="138">
        <f t="shared" si="2"/>
        <v>0</v>
      </c>
    </row>
    <row r="41" spans="1:14" x14ac:dyDescent="0.3">
      <c r="A41" s="2" t="s">
        <v>59</v>
      </c>
      <c r="B41" s="2" t="s">
        <v>61</v>
      </c>
      <c r="C41" s="103" t="str">
        <f>'KH 1 np'!K27</f>
        <v>rampa</v>
      </c>
      <c r="D41" s="2" t="s">
        <v>18</v>
      </c>
      <c r="E41" s="2">
        <f>GETPIVOTDATA("plocha (m2)",'KH 1 np'!$K$1,"užití","rampa","četnost úklidu
počet dní v týdnu","na vyžádání")</f>
        <v>21.4</v>
      </c>
      <c r="F41" s="1">
        <v>3</v>
      </c>
      <c r="G41" s="2">
        <f t="shared" si="1"/>
        <v>21.4</v>
      </c>
      <c r="H41" s="102"/>
      <c r="I41" s="138">
        <f t="shared" si="2"/>
        <v>0</v>
      </c>
      <c r="N41">
        <f>SUM(E20:E41)</f>
        <v>1167.6999999999998</v>
      </c>
    </row>
    <row r="42" spans="1:14" x14ac:dyDescent="0.3">
      <c r="A42" s="2" t="s">
        <v>4</v>
      </c>
      <c r="B42" s="2" t="s">
        <v>60</v>
      </c>
      <c r="C42" s="103" t="str">
        <f>+'TF 1pp'!K5</f>
        <v>kancelář</v>
      </c>
      <c r="D42" s="2" t="s">
        <v>18</v>
      </c>
      <c r="E42" s="2">
        <f>GETPIVOTDATA("plocha (m2)",'TF 1pp'!$K$3,"užití","kancelář","četnost úklidu
počet dní v týdnu","3T")</f>
        <v>11</v>
      </c>
      <c r="F42" s="1">
        <v>3</v>
      </c>
      <c r="G42" s="2">
        <f t="shared" si="1"/>
        <v>11</v>
      </c>
      <c r="H42" s="102"/>
      <c r="I42" s="138">
        <f t="shared" si="2"/>
        <v>0</v>
      </c>
    </row>
    <row r="43" spans="1:14" x14ac:dyDescent="0.3">
      <c r="A43" s="2" t="s">
        <v>4</v>
      </c>
      <c r="B43" s="2" t="s">
        <v>60</v>
      </c>
      <c r="C43" s="103" t="str">
        <f>+'TF 1pp'!K6</f>
        <v>laboratoř</v>
      </c>
      <c r="D43" s="2" t="s">
        <v>18</v>
      </c>
      <c r="E43" s="2">
        <f>GETPIVOTDATA("plocha (m2)",'TF 1pp'!$K$3,"užití","laboratoř","četnost úklidu
počet dní v týdnu","3T")</f>
        <v>52.6</v>
      </c>
      <c r="F43" s="1">
        <f>'TF 1pp'!$K$2</f>
        <v>0</v>
      </c>
      <c r="G43" s="2">
        <f t="shared" si="1"/>
        <v>52.6</v>
      </c>
      <c r="H43" s="102"/>
      <c r="I43" s="138">
        <f t="shared" si="2"/>
        <v>0</v>
      </c>
    </row>
    <row r="44" spans="1:14" x14ac:dyDescent="0.3">
      <c r="A44" s="2" t="s">
        <v>4</v>
      </c>
      <c r="B44" s="2" t="s">
        <v>60</v>
      </c>
      <c r="C44" s="103" t="str">
        <f>'TF 1pp'!K8</f>
        <v>chodba</v>
      </c>
      <c r="D44" s="2" t="s">
        <v>18</v>
      </c>
      <c r="E44" s="2">
        <f>GETPIVOTDATA("plocha (m2)",'TF 1pp'!$K$3,"užití","chodba","četnost úklidu
počet dní v týdnu","5T")</f>
        <v>286.5</v>
      </c>
      <c r="F44" s="1">
        <v>5</v>
      </c>
      <c r="G44" s="2">
        <f t="shared" si="1"/>
        <v>286.5</v>
      </c>
      <c r="H44" s="102"/>
      <c r="I44" s="138">
        <f t="shared" si="2"/>
        <v>0</v>
      </c>
    </row>
    <row r="45" spans="1:14" x14ac:dyDescent="0.3">
      <c r="A45" s="2" t="s">
        <v>4</v>
      </c>
      <c r="B45" s="2" t="s">
        <v>60</v>
      </c>
      <c r="C45" s="103" t="str">
        <f>'TF 1pp'!K9</f>
        <v>lab.učebna</v>
      </c>
      <c r="D45" s="2" t="s">
        <v>18</v>
      </c>
      <c r="E45" s="2">
        <f>GETPIVOTDATA("plocha (m2)",'TF 1pp'!$K$3,"užití","lab.učebna","četnost úklidu
počet dní v týdnu","5T")</f>
        <v>34</v>
      </c>
      <c r="F45" s="1">
        <v>5</v>
      </c>
      <c r="G45" s="2">
        <f t="shared" si="1"/>
        <v>34</v>
      </c>
      <c r="H45" s="102"/>
      <c r="I45" s="138">
        <f t="shared" si="2"/>
        <v>0</v>
      </c>
    </row>
    <row r="46" spans="1:14" x14ac:dyDescent="0.3">
      <c r="A46" s="2" t="s">
        <v>4</v>
      </c>
      <c r="B46" s="2" t="s">
        <v>60</v>
      </c>
      <c r="C46" s="103" t="str">
        <f>'TF 1pp'!K10</f>
        <v>kancelář</v>
      </c>
      <c r="D46" s="2" t="s">
        <v>18</v>
      </c>
      <c r="E46" s="2">
        <f>GETPIVOTDATA("plocha (m2)",'TF 1pp'!$K$3,"užití","kancelář","četnost úklidu
počet dní v týdnu","5T")</f>
        <v>22.299999999999997</v>
      </c>
      <c r="F46" s="1">
        <v>5</v>
      </c>
      <c r="G46" s="2">
        <f t="shared" si="1"/>
        <v>22.299999999999997</v>
      </c>
      <c r="H46" s="102"/>
      <c r="I46" s="138">
        <f t="shared" si="2"/>
        <v>0</v>
      </c>
    </row>
    <row r="47" spans="1:14" x14ac:dyDescent="0.3">
      <c r="A47" s="2" t="s">
        <v>4</v>
      </c>
      <c r="B47" s="2" t="s">
        <v>60</v>
      </c>
      <c r="C47" s="103" t="str">
        <f>'TF 1pp'!K11</f>
        <v>laboratoř</v>
      </c>
      <c r="D47" s="2" t="s">
        <v>18</v>
      </c>
      <c r="E47" s="2">
        <f>GETPIVOTDATA("plocha (m2)",'TF 1pp'!$K$3,"užití","laboratoř","četnost úklidu
počet dní v týdnu","5T")</f>
        <v>399.70000000000005</v>
      </c>
      <c r="F47" s="1">
        <v>5</v>
      </c>
      <c r="G47" s="2">
        <f t="shared" si="1"/>
        <v>399.70000000000005</v>
      </c>
      <c r="H47" s="102"/>
      <c r="I47" s="138">
        <f t="shared" si="2"/>
        <v>0</v>
      </c>
    </row>
    <row r="48" spans="1:14" x14ac:dyDescent="0.3">
      <c r="A48" s="2" t="s">
        <v>4</v>
      </c>
      <c r="B48" s="2" t="s">
        <v>60</v>
      </c>
      <c r="C48" s="103" t="str">
        <f>'TF 1pp'!K12</f>
        <v>učebna</v>
      </c>
      <c r="D48" s="2" t="s">
        <v>18</v>
      </c>
      <c r="E48" s="2">
        <f>GETPIVOTDATA("plocha (m2)",'TF 1pp'!$K$3,"užití","učebna","četnost úklidu
počet dní v týdnu","5T")</f>
        <v>136.19999999999999</v>
      </c>
      <c r="F48" s="1">
        <v>5</v>
      </c>
      <c r="G48" s="2">
        <f t="shared" si="1"/>
        <v>136.19999999999999</v>
      </c>
      <c r="H48" s="102"/>
      <c r="I48" s="138">
        <f t="shared" si="2"/>
        <v>0</v>
      </c>
    </row>
    <row r="49" spans="1:9" x14ac:dyDescent="0.3">
      <c r="A49" s="2" t="s">
        <v>4</v>
      </c>
      <c r="B49" s="2" t="s">
        <v>60</v>
      </c>
      <c r="C49" s="103" t="str">
        <f>'TF 1pp'!K13</f>
        <v>pracovna</v>
      </c>
      <c r="D49" s="2" t="s">
        <v>18</v>
      </c>
      <c r="E49" s="2">
        <f>GETPIVOTDATA("plocha (m2)",'TF 1pp'!$K$3,"užití","pracovna","četnost úklidu
počet dní v týdnu","5T")</f>
        <v>88.95</v>
      </c>
      <c r="F49" s="1">
        <v>5</v>
      </c>
      <c r="G49" s="2">
        <f t="shared" si="1"/>
        <v>88.95</v>
      </c>
      <c r="H49" s="102"/>
      <c r="I49" s="138">
        <f t="shared" si="2"/>
        <v>0</v>
      </c>
    </row>
    <row r="50" spans="1:9" x14ac:dyDescent="0.3">
      <c r="A50" s="2" t="s">
        <v>4</v>
      </c>
      <c r="B50" s="2" t="s">
        <v>60</v>
      </c>
      <c r="C50" s="103" t="str">
        <f>'TF 1pp'!K14</f>
        <v>knihárna</v>
      </c>
      <c r="D50" s="2" t="s">
        <v>18</v>
      </c>
      <c r="E50" s="2">
        <f>GETPIVOTDATA("plocha (m2)",'TF 1pp'!$K$3,"užití","knihárna","četnost úklidu
počet dní v týdnu","5T")</f>
        <v>17.2</v>
      </c>
      <c r="F50" s="1">
        <v>5</v>
      </c>
      <c r="G50" s="2">
        <f t="shared" si="1"/>
        <v>17.2</v>
      </c>
      <c r="H50" s="102"/>
      <c r="I50" s="138">
        <f t="shared" si="2"/>
        <v>0</v>
      </c>
    </row>
    <row r="51" spans="1:9" x14ac:dyDescent="0.3">
      <c r="A51" s="2" t="s">
        <v>4</v>
      </c>
      <c r="B51" s="2" t="s">
        <v>60</v>
      </c>
      <c r="C51" s="103" t="str">
        <f>'TF 1pp'!K29</f>
        <v>sklad</v>
      </c>
      <c r="D51" s="2" t="s">
        <v>18</v>
      </c>
      <c r="E51" s="2">
        <f>GETPIVOTDATA("plocha (m2)",'TF 1pp'!$K$3,"užití","sklad","četnost úklidu
počet dní v týdnu","na vyžádání")</f>
        <v>31.7</v>
      </c>
      <c r="F51" s="1">
        <v>0</v>
      </c>
      <c r="G51" s="2">
        <f t="shared" si="1"/>
        <v>31.7</v>
      </c>
      <c r="H51" s="102"/>
      <c r="I51" s="138">
        <f t="shared" si="2"/>
        <v>0</v>
      </c>
    </row>
    <row r="52" spans="1:9" x14ac:dyDescent="0.3">
      <c r="A52" s="2" t="s">
        <v>4</v>
      </c>
      <c r="B52" s="2" t="s">
        <v>60</v>
      </c>
      <c r="C52" s="103" t="str">
        <f>'TF 1pp'!K30</f>
        <v>telef. ústředna</v>
      </c>
      <c r="D52" s="2" t="s">
        <v>18</v>
      </c>
      <c r="E52" s="2">
        <f>GETPIVOTDATA("plocha (m2)",'TF 1pp'!$K$3,"užití","telef. ústředna","četnost úklidu
počet dní v týdnu","na vyžádání")</f>
        <v>34.6</v>
      </c>
      <c r="F52" s="1">
        <v>0</v>
      </c>
      <c r="G52" s="2">
        <f t="shared" si="1"/>
        <v>34.6</v>
      </c>
      <c r="H52" s="102"/>
      <c r="I52" s="138">
        <f t="shared" si="2"/>
        <v>0</v>
      </c>
    </row>
    <row r="53" spans="1:9" x14ac:dyDescent="0.3">
      <c r="A53" s="2" t="s">
        <v>4</v>
      </c>
      <c r="B53" s="2" t="s">
        <v>60</v>
      </c>
      <c r="C53" s="103" t="str">
        <f>'TF 1pp'!K31</f>
        <v>studentská místnost</v>
      </c>
      <c r="D53" s="2" t="s">
        <v>18</v>
      </c>
      <c r="E53" s="2">
        <f>GETPIVOTDATA("plocha (m2)",'TF 1pp'!$K$3,"užití","studentská místnost","četnost úklidu
počet dní v týdnu","na vyžádání")</f>
        <v>17.3</v>
      </c>
      <c r="F53" s="1">
        <v>0</v>
      </c>
      <c r="G53" s="2">
        <f t="shared" si="1"/>
        <v>17.3</v>
      </c>
      <c r="H53" s="102"/>
      <c r="I53" s="138">
        <f t="shared" si="2"/>
        <v>0</v>
      </c>
    </row>
    <row r="54" spans="1:9" x14ac:dyDescent="0.3">
      <c r="A54" s="2" t="s">
        <v>4</v>
      </c>
      <c r="B54" s="2" t="s">
        <v>61</v>
      </c>
      <c r="C54" s="103" t="str">
        <f>'TF 1np'!L3</f>
        <v>občerstvení</v>
      </c>
      <c r="D54" s="2" t="s">
        <v>18</v>
      </c>
      <c r="E54" s="2">
        <f>GETPIVOTDATA("plocha (m2)",'TF 1np'!$L$1,"užití","občerstvení","četnost úklidu
počet dní v týdnu",0)</f>
        <v>53.4</v>
      </c>
      <c r="F54" s="1">
        <v>0</v>
      </c>
      <c r="G54" s="2">
        <f t="shared" ref="G54:G115" si="3">E54</f>
        <v>53.4</v>
      </c>
      <c r="H54" s="102"/>
      <c r="I54" s="138">
        <f t="shared" si="2"/>
        <v>0</v>
      </c>
    </row>
    <row r="55" spans="1:9" x14ac:dyDescent="0.3">
      <c r="A55" s="2" t="s">
        <v>4</v>
      </c>
      <c r="B55" s="2" t="s">
        <v>61</v>
      </c>
      <c r="C55" s="103" t="str">
        <f>'TF 1np'!L4</f>
        <v>server</v>
      </c>
      <c r="D55" s="2" t="s">
        <v>18</v>
      </c>
      <c r="E55" s="2">
        <f>GETPIVOTDATA("plocha (m2)",'TF 1np'!$L$1,"užití","server","četnost úklidu
počet dní v týdnu",0)</f>
        <v>11</v>
      </c>
      <c r="F55" s="1">
        <v>0</v>
      </c>
      <c r="G55" s="2">
        <f t="shared" si="3"/>
        <v>11</v>
      </c>
      <c r="H55" s="102"/>
      <c r="I55" s="138">
        <f t="shared" si="2"/>
        <v>0</v>
      </c>
    </row>
    <row r="56" spans="1:9" x14ac:dyDescent="0.3">
      <c r="A56" s="2" t="s">
        <v>4</v>
      </c>
      <c r="B56" s="2" t="s">
        <v>61</v>
      </c>
      <c r="C56" s="103" t="str">
        <f>'TF 1np'!L5</f>
        <v>serverovna</v>
      </c>
      <c r="D56" s="2" t="s">
        <v>18</v>
      </c>
      <c r="E56" s="2">
        <f>GETPIVOTDATA("plocha (m2)",'TF 1np'!$L$1,"užití","serverovna","četnost úklidu
počet dní v týdnu",0)</f>
        <v>3.1</v>
      </c>
      <c r="F56" s="1">
        <v>0</v>
      </c>
      <c r="G56" s="2">
        <f t="shared" si="3"/>
        <v>3.1</v>
      </c>
      <c r="H56" s="102"/>
      <c r="I56" s="138">
        <f t="shared" si="2"/>
        <v>0</v>
      </c>
    </row>
    <row r="57" spans="1:9" x14ac:dyDescent="0.3">
      <c r="A57" s="2" t="s">
        <v>4</v>
      </c>
      <c r="B57" s="2" t="s">
        <v>61</v>
      </c>
      <c r="C57" s="103" t="str">
        <f>'TF 1np'!L6</f>
        <v>úklid</v>
      </c>
      <c r="D57" s="2" t="s">
        <v>18</v>
      </c>
      <c r="E57" s="2">
        <f>GETPIVOTDATA("plocha (m2)",'TF 1np'!$L$1,"užití","úklid","četnost úklidu
počet dní v týdnu",0)</f>
        <v>12.399999999999999</v>
      </c>
      <c r="F57" s="1">
        <v>0</v>
      </c>
      <c r="G57" s="2">
        <f t="shared" si="3"/>
        <v>12.399999999999999</v>
      </c>
      <c r="H57" s="102"/>
      <c r="I57" s="138">
        <f t="shared" si="2"/>
        <v>0</v>
      </c>
    </row>
    <row r="58" spans="1:9" x14ac:dyDescent="0.3">
      <c r="A58" s="2" t="s">
        <v>4</v>
      </c>
      <c r="B58" s="2" t="s">
        <v>61</v>
      </c>
      <c r="C58" s="103" t="str">
        <f>'TF 1np'!L7</f>
        <v>VZT</v>
      </c>
      <c r="D58" s="2" t="s">
        <v>18</v>
      </c>
      <c r="E58" s="2">
        <f>GETPIVOTDATA("plocha (m2)",'TF 1np'!$L$1,"užití","VZT","četnost úklidu
počet dní v týdnu",0)</f>
        <v>53.900000000000006</v>
      </c>
      <c r="F58" s="1">
        <v>0</v>
      </c>
      <c r="G58" s="2">
        <f t="shared" si="3"/>
        <v>53.900000000000006</v>
      </c>
      <c r="H58" s="102"/>
      <c r="I58" s="138">
        <f t="shared" si="2"/>
        <v>0</v>
      </c>
    </row>
    <row r="59" spans="1:9" x14ac:dyDescent="0.3">
      <c r="A59" s="2" t="s">
        <v>4</v>
      </c>
      <c r="B59" s="2" t="s">
        <v>61</v>
      </c>
      <c r="C59" s="103" t="str">
        <f>'TF 1np'!L9</f>
        <v>laboratoř</v>
      </c>
      <c r="D59" s="2" t="s">
        <v>18</v>
      </c>
      <c r="E59" s="2">
        <f>GETPIVOTDATA("plocha (m2)",'TF 1np'!$L$1,"užití","laboratoř","četnost úklidu
počet dní v týdnu","na vyžádání")</f>
        <v>357.8</v>
      </c>
      <c r="F59" s="1">
        <v>0</v>
      </c>
      <c r="G59" s="2">
        <f t="shared" si="3"/>
        <v>357.8</v>
      </c>
      <c r="H59" s="102"/>
      <c r="I59" s="138">
        <f t="shared" si="2"/>
        <v>0</v>
      </c>
    </row>
    <row r="60" spans="1:9" x14ac:dyDescent="0.3">
      <c r="A60" s="2" t="s">
        <v>4</v>
      </c>
      <c r="B60" s="2" t="s">
        <v>61</v>
      </c>
      <c r="C60" s="103" t="str">
        <f>'TF 1np'!L10</f>
        <v>zasedací místnost</v>
      </c>
      <c r="D60" s="2" t="s">
        <v>18</v>
      </c>
      <c r="E60" s="2">
        <f>GETPIVOTDATA("plocha (m2)",'TF 1np'!$L$1,"užití","zasedací místnost","četnost úklidu
počet dní v týdnu","na vyžádání")</f>
        <v>70</v>
      </c>
      <c r="F60" s="1">
        <v>0</v>
      </c>
      <c r="G60" s="2">
        <f t="shared" si="3"/>
        <v>70</v>
      </c>
      <c r="H60" s="102"/>
      <c r="I60" s="138">
        <f t="shared" si="2"/>
        <v>0</v>
      </c>
    </row>
    <row r="61" spans="1:9" x14ac:dyDescent="0.3">
      <c r="A61" s="2" t="s">
        <v>4</v>
      </c>
      <c r="B61" s="2" t="s">
        <v>61</v>
      </c>
      <c r="C61" s="103" t="str">
        <f>'TF 1np'!L12</f>
        <v>chodba</v>
      </c>
      <c r="D61" s="2" t="s">
        <v>18</v>
      </c>
      <c r="E61" s="2">
        <f>GETPIVOTDATA("plocha (m2)",'TF 1np'!$L$1,"užití","chodba","četnost úklidu
počet dní v týdnu","5T")</f>
        <v>869.1</v>
      </c>
      <c r="F61" s="1">
        <v>5</v>
      </c>
      <c r="G61" s="2">
        <f t="shared" si="3"/>
        <v>869.1</v>
      </c>
      <c r="H61" s="102"/>
      <c r="I61" s="138">
        <f t="shared" si="2"/>
        <v>0</v>
      </c>
    </row>
    <row r="62" spans="1:9" x14ac:dyDescent="0.3">
      <c r="A62" s="2" t="s">
        <v>4</v>
      </c>
      <c r="B62" s="2" t="s">
        <v>61</v>
      </c>
      <c r="C62" s="103" t="str">
        <f>'TF 1np'!L13</f>
        <v xml:space="preserve">kancelář </v>
      </c>
      <c r="D62" s="2" t="s">
        <v>18</v>
      </c>
      <c r="E62" s="2">
        <f>GETPIVOTDATA("plocha (m2)",'TF 1pp'!$K$3,"užití","lab.učebna","četnost úklidu
počet dní v týdnu","5T")</f>
        <v>34</v>
      </c>
      <c r="F62" s="1">
        <v>5</v>
      </c>
      <c r="G62" s="2">
        <f t="shared" si="3"/>
        <v>34</v>
      </c>
      <c r="H62" s="102"/>
      <c r="I62" s="138">
        <f t="shared" si="2"/>
        <v>0</v>
      </c>
    </row>
    <row r="63" spans="1:9" x14ac:dyDescent="0.3">
      <c r="A63" s="2" t="s">
        <v>4</v>
      </c>
      <c r="B63" s="2" t="s">
        <v>61</v>
      </c>
      <c r="C63" s="103" t="str">
        <f>'TF 1np'!L14</f>
        <v>kuchyňka</v>
      </c>
      <c r="D63" s="2" t="s">
        <v>18</v>
      </c>
      <c r="E63" s="2">
        <f>GETPIVOTDATA("plocha (m2)",'TF 1np'!$L$1,"užití","kuchyňka","četnost úklidu
počet dní v týdnu","5T")</f>
        <v>16.899999999999999</v>
      </c>
      <c r="F63" s="1">
        <v>5</v>
      </c>
      <c r="G63" s="2">
        <f t="shared" si="3"/>
        <v>16.899999999999999</v>
      </c>
      <c r="H63" s="102"/>
      <c r="I63" s="138">
        <f t="shared" si="2"/>
        <v>0</v>
      </c>
    </row>
    <row r="64" spans="1:9" x14ac:dyDescent="0.3">
      <c r="A64" s="2" t="s">
        <v>4</v>
      </c>
      <c r="B64" s="2" t="s">
        <v>61</v>
      </c>
      <c r="C64" s="103" t="str">
        <f>'TF 1np'!L15</f>
        <v>posluchárna</v>
      </c>
      <c r="D64" s="2" t="s">
        <v>18</v>
      </c>
      <c r="E64" s="2">
        <f>GETPIVOTDATA("plocha (m2)",'TF 1np'!$L$1,"užití","posluchárna","četnost úklidu
počet dní v týdnu","5T")</f>
        <v>394.30000000000007</v>
      </c>
      <c r="F64" s="1">
        <v>5</v>
      </c>
      <c r="G64" s="2">
        <f t="shared" si="3"/>
        <v>394.30000000000007</v>
      </c>
      <c r="H64" s="102"/>
      <c r="I64" s="138">
        <f t="shared" si="2"/>
        <v>0</v>
      </c>
    </row>
    <row r="65" spans="1:9" x14ac:dyDescent="0.3">
      <c r="A65" s="2" t="s">
        <v>4</v>
      </c>
      <c r="B65" s="2" t="s">
        <v>61</v>
      </c>
      <c r="C65" s="103" t="str">
        <f>'TF 1np'!L16</f>
        <v>schodiště</v>
      </c>
      <c r="D65" s="2" t="s">
        <v>18</v>
      </c>
      <c r="E65" s="2">
        <f>GETPIVOTDATA("plocha (m2)",'TF 1np'!$L$1,"užití","schodiště","četnost úklidu
počet dní v týdnu","5T")</f>
        <v>78</v>
      </c>
      <c r="F65" s="1">
        <v>5</v>
      </c>
      <c r="G65" s="2">
        <f t="shared" si="3"/>
        <v>78</v>
      </c>
      <c r="H65" s="102"/>
      <c r="I65" s="138">
        <f t="shared" si="2"/>
        <v>0</v>
      </c>
    </row>
    <row r="66" spans="1:9" x14ac:dyDescent="0.3">
      <c r="A66" s="2" t="s">
        <v>4</v>
      </c>
      <c r="B66" s="2" t="s">
        <v>61</v>
      </c>
      <c r="C66" s="103" t="str">
        <f>'TF 1np'!L17</f>
        <v>vstup</v>
      </c>
      <c r="D66" s="2" t="s">
        <v>18</v>
      </c>
      <c r="E66" s="2">
        <f>GETPIVOTDATA("plocha (m2)",'TF 1np'!$L$1,"užití","vstup","četnost úklidu
počet dní v týdnu","5T")</f>
        <v>26.5</v>
      </c>
      <c r="F66" s="1">
        <v>5</v>
      </c>
      <c r="G66" s="2">
        <f t="shared" si="3"/>
        <v>26.5</v>
      </c>
      <c r="H66" s="102"/>
      <c r="I66" s="138">
        <f t="shared" si="2"/>
        <v>0</v>
      </c>
    </row>
    <row r="67" spans="1:9" x14ac:dyDescent="0.3">
      <c r="A67" s="2" t="s">
        <v>4</v>
      </c>
      <c r="B67" s="2" t="s">
        <v>61</v>
      </c>
      <c r="C67" s="103" t="str">
        <f>'TF 1np'!L18</f>
        <v>wc</v>
      </c>
      <c r="D67" s="2" t="s">
        <v>18</v>
      </c>
      <c r="E67" s="2">
        <f>GETPIVOTDATA("plocha (m2)",'TF 1np'!$L$1,"užití","wc","četnost úklidu
počet dní v týdnu","5T")</f>
        <v>94.5</v>
      </c>
      <c r="F67" s="1">
        <v>5</v>
      </c>
      <c r="G67" s="2">
        <f t="shared" si="3"/>
        <v>94.5</v>
      </c>
      <c r="H67" s="102"/>
      <c r="I67" s="138">
        <f t="shared" si="2"/>
        <v>0</v>
      </c>
    </row>
    <row r="68" spans="1:9" x14ac:dyDescent="0.3">
      <c r="A68" s="2" t="s">
        <v>4</v>
      </c>
      <c r="B68" s="2" t="s">
        <v>61</v>
      </c>
      <c r="C68" s="2" t="str">
        <f>'TF 1np'!L20</f>
        <v>kancelář</v>
      </c>
      <c r="D68" s="2" t="s">
        <v>18</v>
      </c>
      <c r="E68" s="2">
        <f>GETPIVOTDATA("plocha (m2)",'TF 1np'!$L$1,"užití","kancelář","četnost úklidu
počet dní v týdnu","3T")</f>
        <v>595.50000000000011</v>
      </c>
      <c r="F68" s="1">
        <v>3</v>
      </c>
      <c r="G68" s="2">
        <f t="shared" si="3"/>
        <v>595.50000000000011</v>
      </c>
      <c r="H68" s="102"/>
      <c r="I68" s="138">
        <f t="shared" si="2"/>
        <v>0</v>
      </c>
    </row>
    <row r="69" spans="1:9" x14ac:dyDescent="0.3">
      <c r="A69" s="2" t="s">
        <v>4</v>
      </c>
      <c r="B69" s="2" t="s">
        <v>61</v>
      </c>
      <c r="C69" s="2" t="str">
        <f>'TF 1np'!L21</f>
        <v xml:space="preserve">kancelář </v>
      </c>
      <c r="D69" s="2" t="s">
        <v>18</v>
      </c>
      <c r="E69" s="2">
        <f>GETPIVOTDATA("plocha (m2)",'TF 1np'!$L$1,"užití","kancelář ","četnost úklidu
počet dní v týdnu","3T")</f>
        <v>32.799999999999997</v>
      </c>
      <c r="F69" s="1">
        <v>3</v>
      </c>
      <c r="G69" s="2">
        <f t="shared" si="3"/>
        <v>32.799999999999997</v>
      </c>
      <c r="H69" s="102"/>
      <c r="I69" s="138">
        <f t="shared" si="2"/>
        <v>0</v>
      </c>
    </row>
    <row r="70" spans="1:9" x14ac:dyDescent="0.3">
      <c r="A70" s="2" t="s">
        <v>4</v>
      </c>
      <c r="B70" s="2" t="s">
        <v>61</v>
      </c>
      <c r="C70" s="2" t="str">
        <f>'TF 1np'!L22</f>
        <v>knihovna</v>
      </c>
      <c r="D70" s="2" t="s">
        <v>18</v>
      </c>
      <c r="E70" s="2">
        <f>GETPIVOTDATA("plocha (m2)",'TF 1np'!$L$1,"užití","knihovna","četnost úklidu
počet dní v týdnu","3T")</f>
        <v>21.7</v>
      </c>
      <c r="F70" s="1">
        <v>3</v>
      </c>
      <c r="G70" s="2">
        <f t="shared" si="3"/>
        <v>21.7</v>
      </c>
      <c r="H70" s="102"/>
      <c r="I70" s="138">
        <f t="shared" si="2"/>
        <v>0</v>
      </c>
    </row>
    <row r="71" spans="1:9" x14ac:dyDescent="0.3">
      <c r="A71" s="2" t="s">
        <v>4</v>
      </c>
      <c r="B71" s="2" t="s">
        <v>61</v>
      </c>
      <c r="C71" s="2" t="str">
        <f>'TF 1np'!L24</f>
        <v>technická mísntost</v>
      </c>
      <c r="D71" s="2" t="s">
        <v>18</v>
      </c>
      <c r="E71" s="2">
        <f>GETPIVOTDATA("plocha (m2)",'TF 1np'!$L$1,"užití","technická mísntost","četnost úklidu
počet dní v týdnu","1T")</f>
        <v>14</v>
      </c>
      <c r="F71" s="1">
        <v>1</v>
      </c>
      <c r="G71" s="2">
        <f t="shared" si="3"/>
        <v>14</v>
      </c>
      <c r="H71" s="102"/>
      <c r="I71" s="138">
        <f t="shared" si="2"/>
        <v>0</v>
      </c>
    </row>
    <row r="72" spans="1:9" x14ac:dyDescent="0.3">
      <c r="A72" s="2" t="s">
        <v>4</v>
      </c>
      <c r="B72" s="2" t="s">
        <v>63</v>
      </c>
      <c r="C72" s="2" t="str">
        <f>'TF 2np'!L3</f>
        <v>úklid</v>
      </c>
      <c r="D72" s="2" t="s">
        <v>18</v>
      </c>
      <c r="E72" s="2">
        <f>GETPIVOTDATA("plocha (m2)",'TF 2np'!$L$1,"užití","úklid","četnost úklidu
počet dní v týdnu",0)</f>
        <v>7</v>
      </c>
      <c r="F72" s="1">
        <f>'TF 2np'!L2</f>
        <v>0</v>
      </c>
      <c r="G72" s="2">
        <f t="shared" si="3"/>
        <v>7</v>
      </c>
      <c r="H72" s="102"/>
      <c r="I72" s="138">
        <f t="shared" si="2"/>
        <v>0</v>
      </c>
    </row>
    <row r="73" spans="1:9" x14ac:dyDescent="0.3">
      <c r="A73" s="2" t="s">
        <v>4</v>
      </c>
      <c r="B73" s="2" t="s">
        <v>63</v>
      </c>
      <c r="C73" s="2" t="str">
        <f>'TF 2np'!L5</f>
        <v>knihovna</v>
      </c>
      <c r="D73" s="2" t="s">
        <v>18</v>
      </c>
      <c r="E73" s="2">
        <f>GETPIVOTDATA("plocha (m2)",'TF 2np'!$L$1,"užití","knihovna","četnost úklidu
počet dní v týdnu",2)</f>
        <v>35.1</v>
      </c>
      <c r="F73" s="1">
        <f>'TF 2np'!L4</f>
        <v>2</v>
      </c>
      <c r="G73" s="2">
        <f t="shared" si="3"/>
        <v>35.1</v>
      </c>
      <c r="H73" s="102"/>
      <c r="I73" s="138">
        <f t="shared" si="2"/>
        <v>0</v>
      </c>
    </row>
    <row r="74" spans="1:9" x14ac:dyDescent="0.3">
      <c r="A74" s="2" t="s">
        <v>4</v>
      </c>
      <c r="B74" s="2" t="s">
        <v>63</v>
      </c>
      <c r="C74" s="2" t="str">
        <f>'TF 2np'!L7</f>
        <v>kancelář</v>
      </c>
      <c r="D74" s="2" t="s">
        <v>18</v>
      </c>
      <c r="E74" s="2">
        <f>GETPIVOTDATA("plocha (m2)",'TF 2np'!$L$1,"užití","kancelář","četnost úklidu
počet dní v týdnu",3)</f>
        <v>456.30000000000013</v>
      </c>
      <c r="F74" s="1">
        <f>'TF 2np'!$L$6</f>
        <v>3</v>
      </c>
      <c r="G74" s="2">
        <f t="shared" si="3"/>
        <v>456.30000000000013</v>
      </c>
      <c r="H74" s="102"/>
      <c r="I74" s="138">
        <f t="shared" si="2"/>
        <v>0</v>
      </c>
    </row>
    <row r="75" spans="1:9" x14ac:dyDescent="0.3">
      <c r="A75" s="2" t="s">
        <v>4</v>
      </c>
      <c r="B75" s="2" t="s">
        <v>63</v>
      </c>
      <c r="C75" s="2" t="str">
        <f>'TF 2np'!L8</f>
        <v>knihovna</v>
      </c>
      <c r="D75" s="2" t="s">
        <v>18</v>
      </c>
      <c r="E75" s="2">
        <f>GETPIVOTDATA("plocha (m2)",'TF 2np'!$L$1,"užití","knihovna","četnost úklidu
počet dní v týdnu",3)</f>
        <v>33.799999999999997</v>
      </c>
      <c r="F75" s="1">
        <f>'TF 2np'!$L$6</f>
        <v>3</v>
      </c>
      <c r="G75" s="2">
        <f t="shared" si="3"/>
        <v>33.799999999999997</v>
      </c>
      <c r="H75" s="102"/>
      <c r="I75" s="138">
        <f t="shared" si="2"/>
        <v>0</v>
      </c>
    </row>
    <row r="76" spans="1:9" x14ac:dyDescent="0.3">
      <c r="A76" s="2" t="s">
        <v>4</v>
      </c>
      <c r="B76" s="2" t="s">
        <v>63</v>
      </c>
      <c r="C76" s="2" t="str">
        <f>'TF 2np'!L9</f>
        <v>laboratoř</v>
      </c>
      <c r="D76" s="2" t="s">
        <v>18</v>
      </c>
      <c r="E76" s="2">
        <f>GETPIVOTDATA("plocha (m2)",'TF 2np'!$L$1,"užití","laboratoř","četnost úklidu
počet dní v týdnu",3)</f>
        <v>303.40000000000003</v>
      </c>
      <c r="F76" s="1">
        <f>'TF 2np'!$L$6</f>
        <v>3</v>
      </c>
      <c r="G76" s="2">
        <f t="shared" si="3"/>
        <v>303.40000000000003</v>
      </c>
      <c r="H76" s="102"/>
      <c r="I76" s="138">
        <f t="shared" si="2"/>
        <v>0</v>
      </c>
    </row>
    <row r="77" spans="1:9" x14ac:dyDescent="0.3">
      <c r="A77" s="2" t="s">
        <v>4</v>
      </c>
      <c r="B77" s="2" t="s">
        <v>63</v>
      </c>
      <c r="C77" s="2" t="str">
        <f>'TF 2np'!L11</f>
        <v>chodba</v>
      </c>
      <c r="D77" s="2" t="s">
        <v>18</v>
      </c>
      <c r="E77" s="2">
        <f>GETPIVOTDATA("plocha (m2)",'TF 2np'!$L$1,"užití","chodba","četnost úklidu
počet dní v týdnu",5)</f>
        <v>325.20000000000005</v>
      </c>
      <c r="F77" s="1">
        <f>'TF 2np'!$L$10</f>
        <v>5</v>
      </c>
      <c r="G77" s="2">
        <f t="shared" si="3"/>
        <v>325.20000000000005</v>
      </c>
      <c r="H77" s="102"/>
      <c r="I77" s="138">
        <f t="shared" si="2"/>
        <v>0</v>
      </c>
    </row>
    <row r="78" spans="1:9" x14ac:dyDescent="0.3">
      <c r="A78" s="2" t="s">
        <v>4</v>
      </c>
      <c r="B78" s="2" t="s">
        <v>63</v>
      </c>
      <c r="C78" s="2" t="str">
        <f>'TF 2np'!L12</f>
        <v>seminární místnost</v>
      </c>
      <c r="D78" s="2" t="s">
        <v>18</v>
      </c>
      <c r="E78" s="2">
        <f>GETPIVOTDATA("plocha (m2)",'TF 2np'!$L$1,"užití","seminární místnost","četnost úklidu
počet dní v týdnu",5)</f>
        <v>107.4</v>
      </c>
      <c r="F78" s="1">
        <f>'TF 2np'!$L$10</f>
        <v>5</v>
      </c>
      <c r="G78" s="2">
        <f t="shared" si="3"/>
        <v>107.4</v>
      </c>
      <c r="H78" s="102"/>
      <c r="I78" s="138">
        <f t="shared" si="2"/>
        <v>0</v>
      </c>
    </row>
    <row r="79" spans="1:9" x14ac:dyDescent="0.3">
      <c r="A79" s="2" t="s">
        <v>4</v>
      </c>
      <c r="B79" s="2" t="s">
        <v>63</v>
      </c>
      <c r="C79" s="2" t="str">
        <f>'TF 2np'!L13</f>
        <v>schodiště</v>
      </c>
      <c r="D79" s="2" t="s">
        <v>18</v>
      </c>
      <c r="E79" s="2">
        <f>GETPIVOTDATA("plocha (m2)",'TF 2np'!$L$1,"užití","schodiště","četnost úklidu
počet dní v týdnu",5)</f>
        <v>58</v>
      </c>
      <c r="F79" s="1">
        <f>'TF 2np'!$L$10</f>
        <v>5</v>
      </c>
      <c r="G79" s="2">
        <f t="shared" si="3"/>
        <v>58</v>
      </c>
      <c r="H79" s="102"/>
      <c r="I79" s="138">
        <f t="shared" si="2"/>
        <v>0</v>
      </c>
    </row>
    <row r="80" spans="1:9" x14ac:dyDescent="0.3">
      <c r="A80" s="2" t="s">
        <v>4</v>
      </c>
      <c r="B80" s="2" t="s">
        <v>63</v>
      </c>
      <c r="C80" s="2" t="str">
        <f>'TF 2np'!L14</f>
        <v>učebna</v>
      </c>
      <c r="D80" s="2" t="s">
        <v>18</v>
      </c>
      <c r="E80" s="2">
        <f>GETPIVOTDATA("plocha (m2)",'TF 2np'!$L$1,"užití","učebna","četnost úklidu
počet dní v týdnu",5)</f>
        <v>120.7</v>
      </c>
      <c r="F80" s="1">
        <f>'TF 2np'!$L$10</f>
        <v>5</v>
      </c>
      <c r="G80" s="2">
        <f t="shared" si="3"/>
        <v>120.7</v>
      </c>
      <c r="H80" s="102"/>
      <c r="I80" s="138">
        <f t="shared" ref="I80:I143" si="4">E80*H80*21.25</f>
        <v>0</v>
      </c>
    </row>
    <row r="81" spans="1:14" x14ac:dyDescent="0.3">
      <c r="A81" s="2" t="s">
        <v>4</v>
      </c>
      <c r="B81" s="2" t="s">
        <v>63</v>
      </c>
      <c r="C81" s="2" t="str">
        <f>'TF 2np'!L15</f>
        <v>wc</v>
      </c>
      <c r="D81" s="2" t="s">
        <v>18</v>
      </c>
      <c r="E81" s="2">
        <f>GETPIVOTDATA("plocha (m2)",'TF 2np'!$L$1,"užití","wc","četnost úklidu
počet dní v týdnu",5)</f>
        <v>51.5</v>
      </c>
      <c r="F81" s="1">
        <f>'TF 2np'!$L$10</f>
        <v>5</v>
      </c>
      <c r="G81" s="2">
        <f t="shared" si="3"/>
        <v>51.5</v>
      </c>
      <c r="H81" s="102"/>
      <c r="I81" s="138">
        <f t="shared" si="4"/>
        <v>0</v>
      </c>
      <c r="N81">
        <f>SUM(E72:E81)</f>
        <v>1498.4000000000003</v>
      </c>
    </row>
    <row r="82" spans="1:14" x14ac:dyDescent="0.3">
      <c r="A82" s="2" t="s">
        <v>4</v>
      </c>
      <c r="B82" s="2" t="s">
        <v>64</v>
      </c>
      <c r="C82" s="2" t="str">
        <f>'TF 3np'!L3</f>
        <v>server</v>
      </c>
      <c r="D82" s="2" t="s">
        <v>18</v>
      </c>
      <c r="E82" s="2">
        <f>GETPIVOTDATA("plocha (m2)",'TF 3np'!$L$1,"užití","server","četnost úklidu
počet dní v týdnu",0)</f>
        <v>16.7</v>
      </c>
      <c r="F82" s="1">
        <f>'TF 3np'!L2</f>
        <v>0</v>
      </c>
      <c r="G82" s="2">
        <f t="shared" si="3"/>
        <v>16.7</v>
      </c>
      <c r="H82" s="102"/>
      <c r="I82" s="138">
        <f t="shared" si="4"/>
        <v>0</v>
      </c>
    </row>
    <row r="83" spans="1:14" x14ac:dyDescent="0.3">
      <c r="A83" s="2" t="s">
        <v>4</v>
      </c>
      <c r="B83" s="2" t="s">
        <v>64</v>
      </c>
      <c r="C83" s="2" t="str">
        <f>'TF 3np'!L4</f>
        <v>úklid</v>
      </c>
      <c r="D83" s="2" t="s">
        <v>18</v>
      </c>
      <c r="E83" s="2">
        <f>GETPIVOTDATA("plocha (m2)",'TF 3np'!$L$1,"užití","úklid","četnost úklidu
počet dní v týdnu",0)</f>
        <v>6.8999999999999995</v>
      </c>
      <c r="F83" s="1">
        <f>'TF 3np'!L2</f>
        <v>0</v>
      </c>
      <c r="G83" s="2">
        <f t="shared" si="3"/>
        <v>6.8999999999999995</v>
      </c>
      <c r="H83" s="102"/>
      <c r="I83" s="138">
        <f t="shared" si="4"/>
        <v>0</v>
      </c>
    </row>
    <row r="84" spans="1:14" x14ac:dyDescent="0.3">
      <c r="A84" s="2" t="s">
        <v>4</v>
      </c>
      <c r="B84" s="2" t="s">
        <v>64</v>
      </c>
      <c r="C84" s="2" t="str">
        <f>'TF 3np'!L6</f>
        <v>knihovna</v>
      </c>
      <c r="D84" s="2" t="s">
        <v>18</v>
      </c>
      <c r="E84" s="2">
        <f>GETPIVOTDATA("plocha (m2)",'TF 3np'!$L$1,"užití","knihovna","četnost úklidu
počet dní v týdnu",2)</f>
        <v>41.1</v>
      </c>
      <c r="F84" s="1">
        <f>'TF 3np'!L5</f>
        <v>2</v>
      </c>
      <c r="G84" s="2">
        <f t="shared" si="3"/>
        <v>41.1</v>
      </c>
      <c r="H84" s="102"/>
      <c r="I84" s="138">
        <f t="shared" si="4"/>
        <v>0</v>
      </c>
    </row>
    <row r="85" spans="1:14" x14ac:dyDescent="0.3">
      <c r="A85" s="2" t="s">
        <v>4</v>
      </c>
      <c r="B85" s="2" t="s">
        <v>64</v>
      </c>
      <c r="C85" s="2" t="str">
        <f>'TF 3np'!L8</f>
        <v>kancelář</v>
      </c>
      <c r="D85" s="2" t="s">
        <v>18</v>
      </c>
      <c r="E85" s="2">
        <f>GETPIVOTDATA("plocha (m2)",'TF 3np'!$L$1,"užití","kancelář","četnost úklidu
počet dní v týdnu",3)</f>
        <v>519</v>
      </c>
      <c r="F85" s="1">
        <f>'TF 3np'!$L$7</f>
        <v>3</v>
      </c>
      <c r="G85" s="2">
        <f t="shared" si="3"/>
        <v>519</v>
      </c>
      <c r="H85" s="102"/>
      <c r="I85" s="138">
        <f t="shared" si="4"/>
        <v>0</v>
      </c>
    </row>
    <row r="86" spans="1:14" x14ac:dyDescent="0.3">
      <c r="A86" s="2" t="s">
        <v>4</v>
      </c>
      <c r="B86" s="2" t="s">
        <v>64</v>
      </c>
      <c r="C86" s="2" t="str">
        <f>'TF 3np'!L10</f>
        <v>chodba</v>
      </c>
      <c r="D86" s="2" t="s">
        <v>18</v>
      </c>
      <c r="E86" s="2">
        <f>GETPIVOTDATA("plocha (m2)",'TF 3np'!$L$1,"užití","chodba","četnost úklidu
počet dní v týdnu",5)</f>
        <v>325.5</v>
      </c>
      <c r="F86" s="1">
        <f>'TF 3np'!$L$9</f>
        <v>5</v>
      </c>
      <c r="G86" s="2">
        <f t="shared" si="3"/>
        <v>325.5</v>
      </c>
      <c r="H86" s="102"/>
      <c r="I86" s="138">
        <f t="shared" si="4"/>
        <v>0</v>
      </c>
    </row>
    <row r="87" spans="1:14" x14ac:dyDescent="0.3">
      <c r="A87" s="2" t="s">
        <v>4</v>
      </c>
      <c r="B87" s="2" t="s">
        <v>64</v>
      </c>
      <c r="C87" s="2" t="str">
        <f>'TF 3np'!L11</f>
        <v>schodiště</v>
      </c>
      <c r="D87" s="2" t="s">
        <v>18</v>
      </c>
      <c r="E87" s="2">
        <f>GETPIVOTDATA("plocha (m2)",'TF 3np'!$L$1,"užití","schodiště","četnost úklidu
počet dní v týdnu",5)</f>
        <v>58.4</v>
      </c>
      <c r="F87" s="1">
        <f>'TF 3np'!$L$9</f>
        <v>5</v>
      </c>
      <c r="G87" s="2">
        <f t="shared" si="3"/>
        <v>58.4</v>
      </c>
      <c r="H87" s="102"/>
      <c r="I87" s="138">
        <f t="shared" si="4"/>
        <v>0</v>
      </c>
    </row>
    <row r="88" spans="1:14" x14ac:dyDescent="0.3">
      <c r="A88" s="2" t="s">
        <v>4</v>
      </c>
      <c r="B88" s="2" t="s">
        <v>64</v>
      </c>
      <c r="C88" s="2" t="str">
        <f>'TF 3np'!L12</f>
        <v>učebna</v>
      </c>
      <c r="D88" s="2" t="s">
        <v>18</v>
      </c>
      <c r="E88" s="2">
        <f>GETPIVOTDATA("plocha (m2)",'TF 3np'!$L$1,"užití","učebna","četnost úklidu
počet dní v týdnu",5)</f>
        <v>478.19999999999993</v>
      </c>
      <c r="F88" s="1">
        <f>'TF 3np'!$L$9</f>
        <v>5</v>
      </c>
      <c r="G88" s="2">
        <f t="shared" si="3"/>
        <v>478.19999999999993</v>
      </c>
      <c r="H88" s="102"/>
      <c r="I88" s="138">
        <f t="shared" si="4"/>
        <v>0</v>
      </c>
    </row>
    <row r="89" spans="1:14" x14ac:dyDescent="0.3">
      <c r="A89" s="2" t="s">
        <v>4</v>
      </c>
      <c r="B89" s="2" t="s">
        <v>64</v>
      </c>
      <c r="C89" s="2" t="str">
        <f>'TF 3np'!L13</f>
        <v>wc</v>
      </c>
      <c r="D89" s="2" t="s">
        <v>18</v>
      </c>
      <c r="E89" s="2">
        <f>GETPIVOTDATA("plocha (m2)",'TF 3np'!$L$1,"užití","wc","četnost úklidu
počet dní v týdnu",5)</f>
        <v>51.6</v>
      </c>
      <c r="F89" s="1">
        <f>'TF 3np'!$L$9</f>
        <v>5</v>
      </c>
      <c r="G89" s="2">
        <f t="shared" si="3"/>
        <v>51.6</v>
      </c>
      <c r="H89" s="102"/>
      <c r="I89" s="138">
        <f t="shared" si="4"/>
        <v>0</v>
      </c>
      <c r="N89">
        <f>SUM(E82:E89)</f>
        <v>1497.3999999999999</v>
      </c>
    </row>
    <row r="90" spans="1:14" x14ac:dyDescent="0.3">
      <c r="A90" s="2" t="s">
        <v>65</v>
      </c>
      <c r="B90" s="2" t="s">
        <v>61</v>
      </c>
      <c r="C90" s="2" t="str">
        <f>'Dílny 1np'!J3</f>
        <v>KOTELNA</v>
      </c>
      <c r="D90" s="2" t="s">
        <v>18</v>
      </c>
      <c r="E90" s="2">
        <f>GETPIVOTDATA("PLOCHA (m2)",'Dílny 1np'!$J$1,"NÁZEV MÍSTNOSTÍ","KOTELNA","četnost úklidu
počet dní v týdnu",0)</f>
        <v>22.180000000000003</v>
      </c>
      <c r="F90" s="1">
        <f>'Dílny 1np'!$J$2</f>
        <v>0</v>
      </c>
      <c r="G90" s="2">
        <f t="shared" si="3"/>
        <v>22.180000000000003</v>
      </c>
      <c r="H90" s="102"/>
      <c r="I90" s="138">
        <f t="shared" si="4"/>
        <v>0</v>
      </c>
    </row>
    <row r="91" spans="1:14" x14ac:dyDescent="0.3">
      <c r="A91" s="2" t="s">
        <v>65</v>
      </c>
      <c r="B91" s="2" t="s">
        <v>61</v>
      </c>
      <c r="C91" s="2" t="str">
        <f>'Dílny 1np'!J4</f>
        <v>PIVOVAR - SKLAD</v>
      </c>
      <c r="D91" s="2" t="s">
        <v>18</v>
      </c>
      <c r="E91" s="2">
        <f>GETPIVOTDATA("PLOCHA (m2)",'Dílny 1np'!$J$1,"NÁZEV MÍSTNOSTÍ","PIVOVAR - SKLAD","četnost úklidu
počet dní v týdnu",0)</f>
        <v>17.59</v>
      </c>
      <c r="F91" s="1">
        <f>'Dílny 1np'!$J$2</f>
        <v>0</v>
      </c>
      <c r="G91" s="2">
        <f t="shared" si="3"/>
        <v>17.59</v>
      </c>
      <c r="H91" s="102"/>
      <c r="I91" s="138">
        <f t="shared" si="4"/>
        <v>0</v>
      </c>
    </row>
    <row r="92" spans="1:14" x14ac:dyDescent="0.3">
      <c r="A92" s="2" t="s">
        <v>65</v>
      </c>
      <c r="B92" s="2" t="s">
        <v>61</v>
      </c>
      <c r="C92" s="2" t="str">
        <f>'Dílny 1np'!J5</f>
        <v>PŘÍPRAVNA</v>
      </c>
      <c r="D92" s="2" t="s">
        <v>18</v>
      </c>
      <c r="E92" s="2">
        <f>GETPIVOTDATA("PLOCHA (m2)",'Dílny 1np'!$J$1,"NÁZEV MÍSTNOSTÍ","PŘÍPRAVNA","četnost úklidu
počet dní v týdnu",0)</f>
        <v>32.04</v>
      </c>
      <c r="F92" s="1">
        <f>'Dílny 1np'!$J$2</f>
        <v>0</v>
      </c>
      <c r="G92" s="2">
        <f t="shared" si="3"/>
        <v>32.04</v>
      </c>
      <c r="H92" s="102"/>
      <c r="I92" s="138">
        <f t="shared" si="4"/>
        <v>0</v>
      </c>
    </row>
    <row r="93" spans="1:14" x14ac:dyDescent="0.3">
      <c r="A93" s="2" t="s">
        <v>65</v>
      </c>
      <c r="B93" s="2" t="s">
        <v>61</v>
      </c>
      <c r="C93" s="2" t="str">
        <f>'Dílny 1np'!J6</f>
        <v>SERVEROVNA</v>
      </c>
      <c r="D93" s="2" t="s">
        <v>18</v>
      </c>
      <c r="E93" s="2">
        <f>GETPIVOTDATA("PLOCHA (m2)",'Dílny 1np'!$J$1,"NÁZEV MÍSTNOSTÍ","SERVEROVNA","četnost úklidu
počet dní v týdnu",0)</f>
        <v>27.27</v>
      </c>
      <c r="F93" s="1">
        <f>'Dílny 1np'!$J$2</f>
        <v>0</v>
      </c>
      <c r="G93" s="2">
        <f t="shared" si="3"/>
        <v>27.27</v>
      </c>
      <c r="H93" s="102"/>
      <c r="I93" s="138">
        <f t="shared" si="4"/>
        <v>0</v>
      </c>
    </row>
    <row r="94" spans="1:14" x14ac:dyDescent="0.3">
      <c r="A94" s="2" t="s">
        <v>65</v>
      </c>
      <c r="B94" s="2" t="s">
        <v>61</v>
      </c>
      <c r="C94" s="2" t="str">
        <f>'Dílny 1np'!J7</f>
        <v>SKLAD ÚKLIDU</v>
      </c>
      <c r="D94" s="2" t="s">
        <v>18</v>
      </c>
      <c r="E94" s="2">
        <f>GETPIVOTDATA("PLOCHA (m2)",'Dílny 1np'!$J$1,"NÁZEV MÍSTNOSTÍ","SKLAD ÚKLIDU","četnost úklidu
počet dní v týdnu",0)</f>
        <v>4.43</v>
      </c>
      <c r="F94" s="1">
        <f>'Dílny 1np'!$J$2</f>
        <v>0</v>
      </c>
      <c r="G94" s="2">
        <f t="shared" si="3"/>
        <v>4.43</v>
      </c>
      <c r="H94" s="102"/>
      <c r="I94" s="138">
        <f t="shared" si="4"/>
        <v>0</v>
      </c>
    </row>
    <row r="95" spans="1:14" x14ac:dyDescent="0.3">
      <c r="A95" s="2" t="s">
        <v>65</v>
      </c>
      <c r="B95" s="2" t="s">
        <v>61</v>
      </c>
      <c r="C95" s="2" t="str">
        <f>'Dílny 1np'!J8</f>
        <v>TECHNICKÁ MÍSTNOST</v>
      </c>
      <c r="D95" s="2" t="s">
        <v>18</v>
      </c>
      <c r="E95" s="2">
        <f>GETPIVOTDATA("PLOCHA (m2)",'Dílny 1np'!$J$1,"NÁZEV MÍSTNOSTÍ","TECHNICKÁ MÍSTNOST","četnost úklidu
počet dní v týdnu",0)</f>
        <v>19.04</v>
      </c>
      <c r="F95" s="1">
        <f>'Dílny 1np'!$J$2</f>
        <v>0</v>
      </c>
      <c r="G95" s="2">
        <f t="shared" si="3"/>
        <v>19.04</v>
      </c>
      <c r="H95" s="102"/>
      <c r="I95" s="138">
        <f t="shared" si="4"/>
        <v>0</v>
      </c>
    </row>
    <row r="96" spans="1:14" x14ac:dyDescent="0.3">
      <c r="A96" s="2" t="s">
        <v>65</v>
      </c>
      <c r="B96" s="2" t="s">
        <v>61</v>
      </c>
      <c r="C96" s="2" t="str">
        <f>'Dílny 1np'!J9</f>
        <v>ÚKLID</v>
      </c>
      <c r="D96" s="2" t="s">
        <v>18</v>
      </c>
      <c r="E96" s="2">
        <f>GETPIVOTDATA("PLOCHA (m2)",'Dílny 1np'!$J$1,"NÁZEV MÍSTNOSTÍ","ÚKLID","četnost úklidu
počet dní v týdnu",0)</f>
        <v>3.66</v>
      </c>
      <c r="F96" s="1">
        <f>'Dílny 1np'!$J$2</f>
        <v>0</v>
      </c>
      <c r="G96" s="2">
        <f t="shared" si="3"/>
        <v>3.66</v>
      </c>
      <c r="H96" s="102"/>
      <c r="I96" s="138">
        <f t="shared" si="4"/>
        <v>0</v>
      </c>
    </row>
    <row r="97" spans="1:9" x14ac:dyDescent="0.3">
      <c r="A97" s="2" t="s">
        <v>65</v>
      </c>
      <c r="B97" s="2" t="s">
        <v>61</v>
      </c>
      <c r="C97" s="2" t="str">
        <f>'Dílny 1np'!J10</f>
        <v>VELÍN</v>
      </c>
      <c r="D97" s="2" t="s">
        <v>18</v>
      </c>
      <c r="E97" s="2">
        <f>GETPIVOTDATA("PLOCHA (m2)",'Dílny 1np'!$J$1,"NÁZEV MÍSTNOSTÍ","VELÍN","četnost úklidu
počet dní v týdnu",0)</f>
        <v>7.37</v>
      </c>
      <c r="F97" s="1">
        <f>'Dílny 1np'!$J$2</f>
        <v>0</v>
      </c>
      <c r="G97" s="2">
        <f t="shared" si="3"/>
        <v>7.37</v>
      </c>
      <c r="H97" s="102"/>
      <c r="I97" s="138">
        <f t="shared" si="4"/>
        <v>0</v>
      </c>
    </row>
    <row r="98" spans="1:9" x14ac:dyDescent="0.3">
      <c r="A98" s="2" t="s">
        <v>65</v>
      </c>
      <c r="B98" s="2" t="s">
        <v>61</v>
      </c>
      <c r="C98" s="2" t="str">
        <f>'Dílny 1np'!J11</f>
        <v>VÝUKOVÁ HALA</v>
      </c>
      <c r="D98" s="2" t="s">
        <v>18</v>
      </c>
      <c r="E98" s="2">
        <f>GETPIVOTDATA("PLOCHA (m2)",'Dílny 1np'!$J$1,"NÁZEV MÍSTNOSTÍ","VÝUKOVÁ HALA","četnost úklidu
počet dní v týdnu",0)</f>
        <v>384.7</v>
      </c>
      <c r="F98" s="1">
        <f>'Dílny 1np'!$J$2</f>
        <v>0</v>
      </c>
      <c r="G98" s="2">
        <f t="shared" si="3"/>
        <v>384.7</v>
      </c>
      <c r="H98" s="102"/>
      <c r="I98" s="138">
        <f t="shared" si="4"/>
        <v>0</v>
      </c>
    </row>
    <row r="99" spans="1:9" x14ac:dyDescent="0.3">
      <c r="A99" s="2" t="s">
        <v>65</v>
      </c>
      <c r="B99" s="2" t="s">
        <v>61</v>
      </c>
      <c r="C99" s="2" t="str">
        <f>'Dílny 1np'!J13</f>
        <v>LABORATOŘ</v>
      </c>
      <c r="D99" s="2" t="s">
        <v>18</v>
      </c>
      <c r="E99" s="2">
        <f>GETPIVOTDATA("PLOCHA (m2)",'Dílny 1np'!$J$1,"NÁZEV MÍSTNOSTÍ","LABORATOŘ","četnost úklidu
počet dní v týdnu",1)</f>
        <v>69.08</v>
      </c>
      <c r="F99" s="1">
        <f>'Dílny 1np'!$J$12</f>
        <v>1</v>
      </c>
      <c r="G99" s="2">
        <f t="shared" si="3"/>
        <v>69.08</v>
      </c>
      <c r="H99" s="102"/>
      <c r="I99" s="138">
        <f t="shared" si="4"/>
        <v>0</v>
      </c>
    </row>
    <row r="100" spans="1:9" x14ac:dyDescent="0.3">
      <c r="A100" s="2" t="s">
        <v>65</v>
      </c>
      <c r="B100" s="2" t="s">
        <v>61</v>
      </c>
      <c r="C100" s="2" t="str">
        <f>'Dílny 1np'!J14</f>
        <v>LABORATOŘ BRZD</v>
      </c>
      <c r="D100" s="2" t="s">
        <v>18</v>
      </c>
      <c r="E100" s="2">
        <f>GETPIVOTDATA("PLOCHA (m2)",'Dílny 1np'!$J$1,"NÁZEV MÍSTNOSTÍ","LABORATOŘ BRZD","četnost úklidu
počet dní v týdnu",1)</f>
        <v>18.2</v>
      </c>
      <c r="F100" s="1">
        <f>'Dílny 1np'!$J$12</f>
        <v>1</v>
      </c>
      <c r="G100" s="2">
        <f t="shared" si="3"/>
        <v>18.2</v>
      </c>
      <c r="H100" s="102"/>
      <c r="I100" s="138">
        <f t="shared" si="4"/>
        <v>0</v>
      </c>
    </row>
    <row r="101" spans="1:9" x14ac:dyDescent="0.3">
      <c r="A101" s="2" t="s">
        <v>65</v>
      </c>
      <c r="B101" s="2" t="s">
        <v>61</v>
      </c>
      <c r="C101" s="2" t="str">
        <f>'Dílny 1np'!J15</f>
        <v>LABORATOŘ SPAL. MOTORŮ</v>
      </c>
      <c r="D101" s="2" t="s">
        <v>18</v>
      </c>
      <c r="E101" s="2">
        <f>GETPIVOTDATA("PLOCHA (m2)",'Dílny 1np'!$J$1,"NÁZEV MÍSTNOSTÍ","LABORATOŘ SPAL. MOTORŮ","četnost úklidu
počet dní v týdnu",1)</f>
        <v>31.8</v>
      </c>
      <c r="F101" s="1">
        <f>'Dílny 1np'!$J$12</f>
        <v>1</v>
      </c>
      <c r="G101" s="2">
        <f t="shared" si="3"/>
        <v>31.8</v>
      </c>
      <c r="H101" s="102"/>
      <c r="I101" s="138">
        <f t="shared" si="4"/>
        <v>0</v>
      </c>
    </row>
    <row r="102" spans="1:9" x14ac:dyDescent="0.3">
      <c r="A102" s="2" t="s">
        <v>65</v>
      </c>
      <c r="B102" s="2" t="s">
        <v>61</v>
      </c>
      <c r="C102" s="2" t="str">
        <f>'Dílny 1np'!J16</f>
        <v>PŘÍPRAVNA MIKROSKOPIE</v>
      </c>
      <c r="D102" s="2" t="s">
        <v>18</v>
      </c>
      <c r="E102" s="2">
        <f>GETPIVOTDATA("PLOCHA (m2)",'Dílny 1np'!$J$1,"NÁZEV MÍSTNOSTÍ","PŘÍPRAVNA MIKROSKOPIE","četnost úklidu
počet dní v týdnu",1)</f>
        <v>31.24</v>
      </c>
      <c r="F102" s="1">
        <f>'Dílny 1np'!$J$12</f>
        <v>1</v>
      </c>
      <c r="G102" s="2">
        <f t="shared" si="3"/>
        <v>31.24</v>
      </c>
      <c r="H102" s="102"/>
      <c r="I102" s="138">
        <f t="shared" si="4"/>
        <v>0</v>
      </c>
    </row>
    <row r="103" spans="1:9" x14ac:dyDescent="0.3">
      <c r="A103" s="2" t="s">
        <v>65</v>
      </c>
      <c r="B103" s="2" t="s">
        <v>61</v>
      </c>
      <c r="C103" s="2" t="str">
        <f>'Dílny 1np'!J17</f>
        <v>SCHODIŠTĚ</v>
      </c>
      <c r="D103" s="2" t="s">
        <v>18</v>
      </c>
      <c r="E103" s="2">
        <f>GETPIVOTDATA("PLOCHA (m2)",'Dílny 1np'!$J$1,"NÁZEV MÍSTNOSTÍ","SCHODIŠTĚ","četnost úklidu
počet dní v týdnu",1)</f>
        <v>21.2</v>
      </c>
      <c r="F103" s="1">
        <f>'Dílny 1np'!$J$12</f>
        <v>1</v>
      </c>
      <c r="G103" s="2">
        <f t="shared" si="3"/>
        <v>21.2</v>
      </c>
      <c r="H103" s="102"/>
      <c r="I103" s="138">
        <f t="shared" si="4"/>
        <v>0</v>
      </c>
    </row>
    <row r="104" spans="1:9" x14ac:dyDescent="0.3">
      <c r="A104" s="2" t="s">
        <v>65</v>
      </c>
      <c r="B104" s="2" t="s">
        <v>61</v>
      </c>
      <c r="C104" s="2" t="str">
        <f>'Dílny 1np'!J18</f>
        <v>SVAŘOVNA</v>
      </c>
      <c r="D104" s="2" t="s">
        <v>18</v>
      </c>
      <c r="E104" s="2">
        <f>GETPIVOTDATA("PLOCHA (m2)",'Dílny 1np'!$J$1,"NÁZEV MÍSTNOSTÍ","SVAŘOVNA","četnost úklidu
počet dní v týdnu",1)</f>
        <v>31.97</v>
      </c>
      <c r="F104" s="1">
        <f>'Dílny 1np'!$J$12</f>
        <v>1</v>
      </c>
      <c r="G104" s="2">
        <f t="shared" si="3"/>
        <v>31.97</v>
      </c>
      <c r="H104" s="102"/>
      <c r="I104" s="138">
        <f t="shared" si="4"/>
        <v>0</v>
      </c>
    </row>
    <row r="105" spans="1:9" x14ac:dyDescent="0.3">
      <c r="A105" s="2" t="s">
        <v>65</v>
      </c>
      <c r="B105" s="2" t="s">
        <v>61</v>
      </c>
      <c r="C105" s="2" t="str">
        <f>'Dílny 1np'!J19</f>
        <v>VÝUKOVÁ HALA</v>
      </c>
      <c r="D105" s="2" t="s">
        <v>18</v>
      </c>
      <c r="E105" s="2">
        <f>GETPIVOTDATA("PLOCHA (m2)",'Dílny 1np'!$J$1,"NÁZEV MÍSTNOSTÍ","VÝUKOVÁ HALA","četnost úklidu
počet dní v týdnu",1)</f>
        <v>995.27</v>
      </c>
      <c r="F105" s="1">
        <f>'Dílny 1np'!$J$12</f>
        <v>1</v>
      </c>
      <c r="G105" s="2">
        <f t="shared" si="3"/>
        <v>995.27</v>
      </c>
      <c r="H105" s="102"/>
      <c r="I105" s="138">
        <f t="shared" si="4"/>
        <v>0</v>
      </c>
    </row>
    <row r="106" spans="1:9" x14ac:dyDescent="0.3">
      <c r="A106" s="2" t="s">
        <v>65</v>
      </c>
      <c r="B106" s="2" t="s">
        <v>61</v>
      </c>
      <c r="C106" s="2" t="str">
        <f>'Dílny 1np'!J21</f>
        <v>DÍLNA</v>
      </c>
      <c r="D106" s="2" t="s">
        <v>18</v>
      </c>
      <c r="E106" s="2">
        <f>GETPIVOTDATA("PLOCHA (m2)",'Dílny 1np'!$J$1,"NÁZEV MÍSTNOSTÍ","DÍLNA","četnost úklidu
počet dní v týdnu",2)</f>
        <v>234.34999999999997</v>
      </c>
      <c r="F106" s="1">
        <f>'Dílny 1np'!$J$20</f>
        <v>2</v>
      </c>
      <c r="G106" s="2">
        <f t="shared" si="3"/>
        <v>234.34999999999997</v>
      </c>
      <c r="H106" s="102"/>
      <c r="I106" s="138">
        <f t="shared" si="4"/>
        <v>0</v>
      </c>
    </row>
    <row r="107" spans="1:9" x14ac:dyDescent="0.3">
      <c r="A107" s="2" t="s">
        <v>65</v>
      </c>
      <c r="B107" s="2" t="s">
        <v>61</v>
      </c>
      <c r="C107" s="2" t="str">
        <f>'Dílny 1np'!J22</f>
        <v>PŘÍPRAVNA</v>
      </c>
      <c r="D107" s="2" t="s">
        <v>18</v>
      </c>
      <c r="E107" s="2">
        <f>GETPIVOTDATA("PLOCHA (m2)",'Dílny 1np'!$J$1,"NÁZEV MÍSTNOSTÍ","PŘÍPRAVNA","četnost úklidu
počet dní v týdnu",2)</f>
        <v>15.93</v>
      </c>
      <c r="F107" s="1">
        <f>'Dílny 1np'!$J$20</f>
        <v>2</v>
      </c>
      <c r="G107" s="2">
        <f t="shared" si="3"/>
        <v>15.93</v>
      </c>
      <c r="H107" s="102"/>
      <c r="I107" s="138">
        <f t="shared" si="4"/>
        <v>0</v>
      </c>
    </row>
    <row r="108" spans="1:9" x14ac:dyDescent="0.3">
      <c r="A108" s="2" t="s">
        <v>65</v>
      </c>
      <c r="B108" s="2" t="s">
        <v>61</v>
      </c>
      <c r="C108" s="2" t="str">
        <f>'Dílny 1np'!J23</f>
        <v>VELÍN</v>
      </c>
      <c r="D108" s="2" t="s">
        <v>18</v>
      </c>
      <c r="E108" s="2">
        <f>GETPIVOTDATA("PLOCHA (m2)",'Dílny 1np'!$J$1,"NÁZEV MÍSTNOSTÍ","VELÍN","četnost úklidu
počet dní v týdnu",2)</f>
        <v>45.93</v>
      </c>
      <c r="F108" s="1">
        <f>'Dílny 1np'!$J$20</f>
        <v>2</v>
      </c>
      <c r="G108" s="2">
        <f t="shared" si="3"/>
        <v>45.93</v>
      </c>
      <c r="H108" s="102"/>
      <c r="I108" s="138">
        <f t="shared" si="4"/>
        <v>0</v>
      </c>
    </row>
    <row r="109" spans="1:9" x14ac:dyDescent="0.3">
      <c r="A109" s="2" t="s">
        <v>65</v>
      </c>
      <c r="B109" s="2" t="s">
        <v>61</v>
      </c>
      <c r="C109" s="2" t="str">
        <f>'Dílny 1np'!J25</f>
        <v>KANCELÁŘ</v>
      </c>
      <c r="D109" s="2" t="s">
        <v>18</v>
      </c>
      <c r="E109" s="2">
        <f>GETPIVOTDATA("PLOCHA (m2)",'Dílny 1np'!$J$1,"NÁZEV MÍSTNOSTÍ","KANCELÁŘ","četnost úklidu
počet dní v týdnu",3)</f>
        <v>344.46999999999997</v>
      </c>
      <c r="F109" s="1">
        <f>'Dílny 1np'!$J$24</f>
        <v>3</v>
      </c>
      <c r="G109" s="2">
        <f t="shared" si="3"/>
        <v>344.46999999999997</v>
      </c>
      <c r="H109" s="102"/>
      <c r="I109" s="138">
        <f t="shared" si="4"/>
        <v>0</v>
      </c>
    </row>
    <row r="110" spans="1:9" x14ac:dyDescent="0.3">
      <c r="A110" s="2" t="s">
        <v>65</v>
      </c>
      <c r="B110" s="2" t="s">
        <v>61</v>
      </c>
      <c r="C110" s="2" t="str">
        <f>'Dílny 1np'!J26</f>
        <v>KANCELÁŘ/LABORATOŘ</v>
      </c>
      <c r="D110" s="2" t="s">
        <v>18</v>
      </c>
      <c r="E110" s="2">
        <f>GETPIVOTDATA("PLOCHA (m2)",'Dílny 1np'!$J$1,"NÁZEV MÍSTNOSTÍ","KANCELÁŘ/LABORATOŘ","četnost úklidu
počet dní v týdnu",3)</f>
        <v>14.8</v>
      </c>
      <c r="F110" s="1">
        <f>'Dílny 1np'!$J$24</f>
        <v>3</v>
      </c>
      <c r="G110" s="2">
        <f t="shared" si="3"/>
        <v>14.8</v>
      </c>
      <c r="H110" s="102"/>
      <c r="I110" s="138">
        <f t="shared" si="4"/>
        <v>0</v>
      </c>
    </row>
    <row r="111" spans="1:9" x14ac:dyDescent="0.3">
      <c r="A111" s="2" t="s">
        <v>65</v>
      </c>
      <c r="B111" s="2" t="s">
        <v>61</v>
      </c>
      <c r="C111" s="2" t="str">
        <f>'Dílny 1np'!J27</f>
        <v>LABORATOŘ</v>
      </c>
      <c r="D111" s="2" t="s">
        <v>18</v>
      </c>
      <c r="E111" s="2">
        <f>GETPIVOTDATA("PLOCHA (m2)",'Dílny 1np'!$J$1,"NÁZEV MÍSTNOSTÍ","LABORATOŘ","četnost úklidu
počet dní v týdnu",3)</f>
        <v>493.94000000000005</v>
      </c>
      <c r="F111" s="1">
        <f>'Dílny 1np'!$J$24</f>
        <v>3</v>
      </c>
      <c r="G111" s="2">
        <f t="shared" si="3"/>
        <v>493.94000000000005</v>
      </c>
      <c r="H111" s="102"/>
      <c r="I111" s="138">
        <f t="shared" si="4"/>
        <v>0</v>
      </c>
    </row>
    <row r="112" spans="1:9" x14ac:dyDescent="0.3">
      <c r="A112" s="2" t="s">
        <v>65</v>
      </c>
      <c r="B112" s="2" t="s">
        <v>61</v>
      </c>
      <c r="C112" s="2" t="str">
        <f>'Dílny 1np'!J28</f>
        <v>LABORATOŘ CHROMATOGRAFIE</v>
      </c>
      <c r="D112" s="2" t="s">
        <v>18</v>
      </c>
      <c r="E112" s="2">
        <f>GETPIVOTDATA("PLOCHA (m2)",'Dílny 1np'!$J$1,"NÁZEV MÍSTNOSTÍ","LABORATOŘ CHROMATOGRAFIE","četnost úklidu
počet dní v týdnu",3)</f>
        <v>32.18</v>
      </c>
      <c r="F112" s="1">
        <f>'Dílny 1np'!$J$24</f>
        <v>3</v>
      </c>
      <c r="G112" s="2">
        <f t="shared" si="3"/>
        <v>32.18</v>
      </c>
      <c r="H112" s="102"/>
      <c r="I112" s="138">
        <f t="shared" si="4"/>
        <v>0</v>
      </c>
    </row>
    <row r="113" spans="1:9" x14ac:dyDescent="0.3">
      <c r="A113" s="2" t="s">
        <v>65</v>
      </c>
      <c r="B113" s="2" t="s">
        <v>61</v>
      </c>
      <c r="C113" s="2" t="str">
        <f>'Dílny 1np'!J29</f>
        <v>LABORATOŘ METALOGRAFIE</v>
      </c>
      <c r="D113" s="2" t="s">
        <v>18</v>
      </c>
      <c r="E113" s="2">
        <f>GETPIVOTDATA("PLOCHA (m2)",'Dílny 1np'!$J$1,"NÁZEV MÍSTNOSTÍ","LABORATOŘ METALOGRAFIE","četnost úklidu
počet dní v týdnu",3)</f>
        <v>15.55</v>
      </c>
      <c r="F113" s="1">
        <f>'Dílny 1np'!$J$24</f>
        <v>3</v>
      </c>
      <c r="G113" s="2">
        <f t="shared" si="3"/>
        <v>15.55</v>
      </c>
      <c r="H113" s="102"/>
      <c r="I113" s="138">
        <f t="shared" si="4"/>
        <v>0</v>
      </c>
    </row>
    <row r="114" spans="1:9" x14ac:dyDescent="0.3">
      <c r="A114" s="2" t="s">
        <v>65</v>
      </c>
      <c r="B114" s="2" t="s">
        <v>61</v>
      </c>
      <c r="C114" s="2" t="str">
        <f>'Dílny 1np'!J30</f>
        <v>LABORATOŘ MIKROSKOPIE</v>
      </c>
      <c r="D114" s="2" t="s">
        <v>18</v>
      </c>
      <c r="E114" s="2">
        <f>GETPIVOTDATA("PLOCHA (m2)",'Dílny 1np'!$J$1,"NÁZEV MÍSTNOSTÍ","LABORATOŘ MIKROSKOPIE","četnost úklidu
počet dní v týdnu",3)</f>
        <v>31.8</v>
      </c>
      <c r="F114" s="1">
        <f>'Dílny 1np'!$J$24</f>
        <v>3</v>
      </c>
      <c r="G114" s="2">
        <f t="shared" si="3"/>
        <v>31.8</v>
      </c>
      <c r="H114" s="102"/>
      <c r="I114" s="138">
        <f t="shared" si="4"/>
        <v>0</v>
      </c>
    </row>
    <row r="115" spans="1:9" x14ac:dyDescent="0.3">
      <c r="A115" s="2" t="s">
        <v>65</v>
      </c>
      <c r="B115" s="2" t="s">
        <v>61</v>
      </c>
      <c r="C115" s="2" t="str">
        <f>'Dílny 1np'!J31</f>
        <v>LABORATOŘ SPAL. MOTORŮ</v>
      </c>
      <c r="D115" s="2" t="s">
        <v>18</v>
      </c>
      <c r="E115" s="2">
        <f>GETPIVOTDATA("PLOCHA (m2)",'Dílny 1np'!$J$1,"NÁZEV MÍSTNOSTÍ","LABORATOŘ SPAL. MOTORŮ","četnost úklidu
počet dní v týdnu",3)</f>
        <v>18.29</v>
      </c>
      <c r="F115" s="1">
        <f>'Dílny 1np'!$J$24</f>
        <v>3</v>
      </c>
      <c r="G115" s="2">
        <f t="shared" si="3"/>
        <v>18.29</v>
      </c>
      <c r="H115" s="102"/>
      <c r="I115" s="138">
        <f t="shared" si="4"/>
        <v>0</v>
      </c>
    </row>
    <row r="116" spans="1:9" x14ac:dyDescent="0.3">
      <c r="A116" s="2" t="s">
        <v>65</v>
      </c>
      <c r="B116" s="2" t="s">
        <v>61</v>
      </c>
      <c r="C116" s="2" t="str">
        <f>'Dílny 1np'!J32</f>
        <v>LABORATOŘ TRIBOTECHNIKY</v>
      </c>
      <c r="D116" s="2" t="s">
        <v>18</v>
      </c>
      <c r="E116" s="2">
        <f>GETPIVOTDATA("PLOCHA (m2)",'Dílny 1np'!$J$1,"NÁZEV MÍSTNOSTÍ","LABORATOŘ TRIBOTECHNIKY","četnost úklidu
počet dní v týdnu",3)</f>
        <v>17.28</v>
      </c>
      <c r="F116" s="1">
        <f>'Dílny 1np'!$J$24</f>
        <v>3</v>
      </c>
      <c r="G116" s="2">
        <f t="shared" ref="G116:G151" si="5">E116</f>
        <v>17.28</v>
      </c>
      <c r="H116" s="102"/>
      <c r="I116" s="138">
        <f t="shared" si="4"/>
        <v>0</v>
      </c>
    </row>
    <row r="117" spans="1:9" x14ac:dyDescent="0.3">
      <c r="A117" s="2" t="s">
        <v>65</v>
      </c>
      <c r="B117" s="2" t="s">
        <v>61</v>
      </c>
      <c r="C117" s="2" t="str">
        <f>'Dílny 1np'!J33</f>
        <v>SKLAD</v>
      </c>
      <c r="D117" s="2" t="s">
        <v>18</v>
      </c>
      <c r="E117" s="2">
        <f>GETPIVOTDATA("PLOCHA (m2)",'Dílny 1np'!$J$1,"NÁZEV MÍSTNOSTÍ","SKLAD","četnost úklidu
počet dní v týdnu",3)</f>
        <v>6.79</v>
      </c>
      <c r="F117" s="1">
        <f>'Dílny 1np'!$J$24</f>
        <v>3</v>
      </c>
      <c r="G117" s="2">
        <f t="shared" si="5"/>
        <v>6.79</v>
      </c>
      <c r="H117" s="102"/>
      <c r="I117" s="138">
        <f t="shared" si="4"/>
        <v>0</v>
      </c>
    </row>
    <row r="118" spans="1:9" x14ac:dyDescent="0.3">
      <c r="A118" s="2" t="s">
        <v>65</v>
      </c>
      <c r="B118" s="2" t="s">
        <v>61</v>
      </c>
      <c r="C118" s="2" t="str">
        <f>'Dílny 1np'!J34</f>
        <v>STROJNÍ TRUHLÁRNA</v>
      </c>
      <c r="D118" s="2" t="s">
        <v>18</v>
      </c>
      <c r="E118" s="2">
        <f>GETPIVOTDATA("PLOCHA (m2)",'Dílny 1np'!$J$1,"NÁZEV MÍSTNOSTÍ","STROJNÍ TRUHLÁRNA","četnost úklidu
počet dní v týdnu",3)</f>
        <v>74.260000000000005</v>
      </c>
      <c r="F118" s="1">
        <f>'Dílny 1np'!$J$24</f>
        <v>3</v>
      </c>
      <c r="G118" s="2">
        <f t="shared" si="5"/>
        <v>74.260000000000005</v>
      </c>
      <c r="H118" s="102"/>
      <c r="I118" s="138">
        <f t="shared" si="4"/>
        <v>0</v>
      </c>
    </row>
    <row r="119" spans="1:9" x14ac:dyDescent="0.3">
      <c r="A119" s="2" t="s">
        <v>65</v>
      </c>
      <c r="B119" s="2" t="s">
        <v>61</v>
      </c>
      <c r="C119" s="2" t="str">
        <f>'Dílny 1np'!J35</f>
        <v>TRUHLÁRNA</v>
      </c>
      <c r="D119" s="2" t="s">
        <v>18</v>
      </c>
      <c r="E119" s="2">
        <f>GETPIVOTDATA("PLOCHA (m2)",'Dílny 1np'!$J$1,"NÁZEV MÍSTNOSTÍ","TRUHLÁRNA","četnost úklidu
počet dní v týdnu",3)</f>
        <v>49.13</v>
      </c>
      <c r="F119" s="1">
        <f>'Dílny 1np'!$J$24</f>
        <v>3</v>
      </c>
      <c r="G119" s="2">
        <f t="shared" si="5"/>
        <v>49.13</v>
      </c>
      <c r="H119" s="102"/>
      <c r="I119" s="138">
        <f t="shared" si="4"/>
        <v>0</v>
      </c>
    </row>
    <row r="120" spans="1:9" x14ac:dyDescent="0.3">
      <c r="A120" s="2" t="s">
        <v>65</v>
      </c>
      <c r="B120" s="2" t="s">
        <v>61</v>
      </c>
      <c r="C120" s="2" t="str">
        <f>'Dílny 1np'!J37</f>
        <v>CHODBA</v>
      </c>
      <c r="D120" s="2" t="s">
        <v>18</v>
      </c>
      <c r="E120" s="2">
        <f>GETPIVOTDATA("PLOCHA (m2)",'Dílny 1np'!$J$1,"NÁZEV MÍSTNOSTÍ","CHODBA","četnost úklidu
počet dní v týdnu",5)</f>
        <v>842.14999999999986</v>
      </c>
      <c r="F120" s="1">
        <f>'Dílny 1np'!$J$36</f>
        <v>5</v>
      </c>
      <c r="G120" s="2">
        <f t="shared" si="5"/>
        <v>842.14999999999986</v>
      </c>
      <c r="H120" s="102"/>
      <c r="I120" s="138">
        <f t="shared" si="4"/>
        <v>0</v>
      </c>
    </row>
    <row r="121" spans="1:9" x14ac:dyDescent="0.3">
      <c r="A121" s="2" t="s">
        <v>65</v>
      </c>
      <c r="B121" s="2" t="s">
        <v>61</v>
      </c>
      <c r="C121" s="2" t="str">
        <f>'Dílny 1np'!J38</f>
        <v>LABORATOŘ DOJENÍ</v>
      </c>
      <c r="D121" s="2" t="s">
        <v>18</v>
      </c>
      <c r="E121" s="2">
        <f>GETPIVOTDATA("PLOCHA (m2)",'Dílny 1np'!$J$1,"NÁZEV MÍSTNOSTÍ","LABORATOŘ DOJENÍ","četnost úklidu
počet dní v týdnu",5)</f>
        <v>48.77</v>
      </c>
      <c r="F121" s="1">
        <f>'Dílny 1np'!$J$36</f>
        <v>5</v>
      </c>
      <c r="G121" s="2">
        <f t="shared" si="5"/>
        <v>48.77</v>
      </c>
      <c r="H121" s="102"/>
      <c r="I121" s="138">
        <f t="shared" si="4"/>
        <v>0</v>
      </c>
    </row>
    <row r="122" spans="1:9" x14ac:dyDescent="0.3">
      <c r="A122" s="2" t="s">
        <v>65</v>
      </c>
      <c r="B122" s="2" t="s">
        <v>61</v>
      </c>
      <c r="C122" s="2" t="str">
        <f>'Dílny 1np'!J39</f>
        <v>ŠATNA</v>
      </c>
      <c r="D122" s="2" t="s">
        <v>18</v>
      </c>
      <c r="E122" s="2">
        <f>GETPIVOTDATA("PLOCHA (m2)",'Dílny 1np'!$J$1,"NÁZEV MÍSTNOSTÍ","ŠATNA","četnost úklidu
počet dní v týdnu",5)</f>
        <v>25.22</v>
      </c>
      <c r="F122" s="1">
        <f>'Dílny 1np'!$J$36</f>
        <v>5</v>
      </c>
      <c r="G122" s="2">
        <f t="shared" si="5"/>
        <v>25.22</v>
      </c>
      <c r="H122" s="102"/>
      <c r="I122" s="138">
        <f t="shared" si="4"/>
        <v>0</v>
      </c>
    </row>
    <row r="123" spans="1:9" x14ac:dyDescent="0.3">
      <c r="A123" s="2" t="s">
        <v>65</v>
      </c>
      <c r="B123" s="2" t="s">
        <v>61</v>
      </c>
      <c r="C123" s="2" t="str">
        <f>'Dílny 1np'!J40</f>
        <v>UČEBNA</v>
      </c>
      <c r="D123" s="2" t="s">
        <v>18</v>
      </c>
      <c r="E123" s="2">
        <f>GETPIVOTDATA("PLOCHA (m2)",'Dílny 1np'!$J$1,"NÁZEV MÍSTNOSTÍ","UČEBNA","četnost úklidu
počet dní v týdnu",5)</f>
        <v>361.42999999999995</v>
      </c>
      <c r="F123" s="1">
        <f>'Dílny 1np'!$J$36</f>
        <v>5</v>
      </c>
      <c r="G123" s="2">
        <f t="shared" si="5"/>
        <v>361.42999999999995</v>
      </c>
      <c r="H123" s="102"/>
      <c r="I123" s="138">
        <f t="shared" si="4"/>
        <v>0</v>
      </c>
    </row>
    <row r="124" spans="1:9" x14ac:dyDescent="0.3">
      <c r="A124" s="2" t="s">
        <v>65</v>
      </c>
      <c r="B124" s="2" t="s">
        <v>61</v>
      </c>
      <c r="C124" s="2" t="str">
        <f>'Dílny 1np'!J41</f>
        <v>UČEBNA VÝP. TECHNIKY</v>
      </c>
      <c r="D124" s="2" t="s">
        <v>18</v>
      </c>
      <c r="E124" s="2">
        <f>GETPIVOTDATA("PLOCHA (m2)",'Dílny 1np'!$J$1,"NÁZEV MÍSTNOSTÍ","UČEBNA VÝP. TECHNIKY","četnost úklidu
počet dní v týdnu",5)</f>
        <v>48.77</v>
      </c>
      <c r="F124" s="1">
        <f>'Dílny 1np'!$J$36</f>
        <v>5</v>
      </c>
      <c r="G124" s="2">
        <f t="shared" si="5"/>
        <v>48.77</v>
      </c>
      <c r="H124" s="102"/>
      <c r="I124" s="138">
        <f t="shared" si="4"/>
        <v>0</v>
      </c>
    </row>
    <row r="125" spans="1:9" x14ac:dyDescent="0.3">
      <c r="A125" s="2" t="s">
        <v>65</v>
      </c>
      <c r="B125" s="2" t="s">
        <v>61</v>
      </c>
      <c r="C125" s="2" t="str">
        <f>'Dílny 1np'!J42</f>
        <v>UMÝVÁRNA</v>
      </c>
      <c r="D125" s="2" t="s">
        <v>18</v>
      </c>
      <c r="E125" s="2">
        <f>GETPIVOTDATA("PLOCHA (m2)",'Dílny 1np'!$J$1,"NÁZEV MÍSTNOSTÍ","UMÝVÁRNA","četnost úklidu
počet dní v týdnu",5)</f>
        <v>23.560000000000002</v>
      </c>
      <c r="F125" s="1">
        <f>'Dílny 1np'!$J$36</f>
        <v>5</v>
      </c>
      <c r="G125" s="2">
        <f t="shared" si="5"/>
        <v>23.560000000000002</v>
      </c>
      <c r="H125" s="102"/>
      <c r="I125" s="138">
        <f t="shared" si="4"/>
        <v>0</v>
      </c>
    </row>
    <row r="126" spans="1:9" x14ac:dyDescent="0.3">
      <c r="A126" s="2" t="s">
        <v>65</v>
      </c>
      <c r="B126" s="2" t="s">
        <v>61</v>
      </c>
      <c r="C126" s="2" t="str">
        <f>'Dílny 1np'!J43</f>
        <v>WC MUŽI</v>
      </c>
      <c r="D126" s="2" t="s">
        <v>18</v>
      </c>
      <c r="E126" s="2">
        <f>GETPIVOTDATA("PLOCHA (m2)",'Dílny 1np'!$J$1,"NÁZEV MÍSTNOSTÍ","WC MUŽI","četnost úklidu
počet dní v týdnu",5)</f>
        <v>27.41</v>
      </c>
      <c r="F126" s="1">
        <f>'Dílny 1np'!$J$36</f>
        <v>5</v>
      </c>
      <c r="G126" s="2">
        <f t="shared" si="5"/>
        <v>27.41</v>
      </c>
      <c r="H126" s="102"/>
      <c r="I126" s="138">
        <f t="shared" si="4"/>
        <v>0</v>
      </c>
    </row>
    <row r="127" spans="1:9" x14ac:dyDescent="0.3">
      <c r="A127" s="2" t="s">
        <v>65</v>
      </c>
      <c r="B127" s="2" t="s">
        <v>61</v>
      </c>
      <c r="C127" s="2" t="str">
        <f>'Dílny 1np'!J44</f>
        <v>WC ŽENY</v>
      </c>
      <c r="D127" s="2" t="s">
        <v>18</v>
      </c>
      <c r="E127" s="2">
        <f>GETPIVOTDATA("PLOCHA (m2)",'Dílny 1np'!$J$1,"NÁZEV MÍSTNOSTÍ","WC ŽENY","četnost úklidu
počet dní v týdnu",5)</f>
        <v>23.14</v>
      </c>
      <c r="F127" s="1">
        <f>'Dílny 1np'!$J$36</f>
        <v>5</v>
      </c>
      <c r="G127" s="2">
        <f t="shared" si="5"/>
        <v>23.14</v>
      </c>
      <c r="H127" s="102"/>
      <c r="I127" s="138">
        <f t="shared" si="4"/>
        <v>0</v>
      </c>
    </row>
    <row r="128" spans="1:9" x14ac:dyDescent="0.3">
      <c r="A128" s="2" t="s">
        <v>65</v>
      </c>
      <c r="B128" s="2" t="s">
        <v>61</v>
      </c>
      <c r="C128" s="2" t="str">
        <f>'Dílny 1np'!J46</f>
        <v>ENERGETIKA PROVOZ</v>
      </c>
      <c r="D128" s="2" t="s">
        <v>18</v>
      </c>
      <c r="E128" s="2">
        <f>GETPIVOTDATA("PLOCHA (m2)",'Dílny 1np'!$J$1,"NÁZEV MÍSTNOSTÍ","ENERGETIKA PROVOZ","četnost úklidu
počet dní v týdnu","na vyžádání")</f>
        <v>17.5</v>
      </c>
      <c r="F128" s="1">
        <v>0</v>
      </c>
      <c r="G128" s="2">
        <f t="shared" si="5"/>
        <v>17.5</v>
      </c>
      <c r="H128" s="102"/>
      <c r="I128" s="138">
        <f t="shared" si="4"/>
        <v>0</v>
      </c>
    </row>
    <row r="129" spans="1:14" x14ac:dyDescent="0.3">
      <c r="A129" s="2" t="s">
        <v>65</v>
      </c>
      <c r="B129" s="2" t="s">
        <v>61</v>
      </c>
      <c r="C129" s="2" t="str">
        <f>'Dílny 1np'!J47</f>
        <v>HYGIENICKÉ ZÁZEMÍ</v>
      </c>
      <c r="D129" s="2" t="s">
        <v>18</v>
      </c>
      <c r="E129" s="2">
        <f>GETPIVOTDATA("PLOCHA (m2)",'Dílny 1np'!$J$1,"NÁZEV MÍSTNOSTÍ","HYGIENICKÉ ZÁZEMÍ","četnost úklidu
počet dní v týdnu","na vyžádání")</f>
        <v>4.5999999999999996</v>
      </c>
      <c r="F129" s="1">
        <v>0</v>
      </c>
      <c r="G129" s="2">
        <f t="shared" si="5"/>
        <v>4.5999999999999996</v>
      </c>
      <c r="H129" s="102"/>
      <c r="I129" s="138">
        <f t="shared" si="4"/>
        <v>0</v>
      </c>
    </row>
    <row r="130" spans="1:14" x14ac:dyDescent="0.3">
      <c r="A130" s="2" t="s">
        <v>65</v>
      </c>
      <c r="B130" s="2" t="s">
        <v>61</v>
      </c>
      <c r="C130" s="2" t="str">
        <f>'Dílny 1np'!J48</f>
        <v>CHLAZENÍ VARNY</v>
      </c>
      <c r="D130" s="2" t="s">
        <v>18</v>
      </c>
      <c r="E130" s="2">
        <f>GETPIVOTDATA("PLOCHA (m2)",'Dílny 1np'!$J$1,"NÁZEV MÍSTNOSTÍ","CHLAZENÍ VARNY","četnost úklidu
počet dní v týdnu","na vyžádání")</f>
        <v>14.7</v>
      </c>
      <c r="F130" s="1">
        <v>0</v>
      </c>
      <c r="G130" s="2">
        <f t="shared" si="5"/>
        <v>14.7</v>
      </c>
      <c r="H130" s="102"/>
      <c r="I130" s="138">
        <f t="shared" si="4"/>
        <v>0</v>
      </c>
    </row>
    <row r="131" spans="1:14" x14ac:dyDescent="0.3">
      <c r="A131" s="2" t="s">
        <v>65</v>
      </c>
      <c r="B131" s="2" t="s">
        <v>61</v>
      </c>
      <c r="C131" s="2" t="str">
        <f>'Dílny 1np'!J49</f>
        <v>LABORATOŘ MIKROSKOPIE</v>
      </c>
      <c r="D131" s="2" t="s">
        <v>18</v>
      </c>
      <c r="E131" s="2">
        <f>GETPIVOTDATA("PLOCHA (m2)",'Dílny 1np'!$J$1,"NÁZEV MÍSTNOSTÍ","LABORATOŘ MIKROSKOPIE","četnost úklidu
počet dní v týdnu","na vyžádání")</f>
        <v>47.7</v>
      </c>
      <c r="F131" s="1">
        <v>0</v>
      </c>
      <c r="G131" s="2">
        <f t="shared" si="5"/>
        <v>47.7</v>
      </c>
      <c r="H131" s="102"/>
      <c r="I131" s="138">
        <f t="shared" si="4"/>
        <v>0</v>
      </c>
    </row>
    <row r="132" spans="1:14" x14ac:dyDescent="0.3">
      <c r="A132" s="2" t="s">
        <v>65</v>
      </c>
      <c r="B132" s="2" t="s">
        <v>61</v>
      </c>
      <c r="C132" s="2" t="str">
        <f>'Dílny 1np'!J50</f>
        <v>LEŽÁCKÝ SKLEP</v>
      </c>
      <c r="D132" s="2" t="s">
        <v>18</v>
      </c>
      <c r="E132" s="2">
        <f>GETPIVOTDATA("PLOCHA (m2)",'Dílny 1np'!$J$1,"NÁZEV MÍSTNOSTÍ","LEŽÁCKÝ SKLEP","četnost úklidu
počet dní v týdnu","na vyžádání")</f>
        <v>22.2</v>
      </c>
      <c r="F132" s="1">
        <v>0</v>
      </c>
      <c r="G132" s="2">
        <f t="shared" si="5"/>
        <v>22.2</v>
      </c>
      <c r="H132" s="102"/>
      <c r="I132" s="138">
        <f t="shared" si="4"/>
        <v>0</v>
      </c>
    </row>
    <row r="133" spans="1:14" x14ac:dyDescent="0.3">
      <c r="A133" s="2" t="s">
        <v>65</v>
      </c>
      <c r="B133" s="2" t="s">
        <v>61</v>
      </c>
      <c r="C133" s="2" t="str">
        <f>'Dílny 1np'!J51</f>
        <v xml:space="preserve">PIVOVAR - VARNA </v>
      </c>
      <c r="D133" s="2" t="s">
        <v>18</v>
      </c>
      <c r="E133" s="2">
        <f>GETPIVOTDATA("PLOCHA (m2)",'Dílny 1np'!$J$1,"NÁZEV MÍSTNOSTÍ","PIVOVAR - VARNA ","četnost úklidu
počet dní v týdnu","na vyžádání")</f>
        <v>40.1</v>
      </c>
      <c r="F133" s="1">
        <v>0</v>
      </c>
      <c r="G133" s="2">
        <f t="shared" si="5"/>
        <v>40.1</v>
      </c>
      <c r="H133" s="102"/>
      <c r="I133" s="138">
        <f t="shared" si="4"/>
        <v>0</v>
      </c>
    </row>
    <row r="134" spans="1:14" x14ac:dyDescent="0.3">
      <c r="A134" s="2" t="s">
        <v>65</v>
      </c>
      <c r="B134" s="2" t="s">
        <v>61</v>
      </c>
      <c r="C134" s="2" t="str">
        <f>'Dílny 1np'!J52</f>
        <v>SKLAD</v>
      </c>
      <c r="D134" s="2" t="s">
        <v>18</v>
      </c>
      <c r="E134" s="2">
        <f>GETPIVOTDATA("PLOCHA (m2)",'Dílny 1np'!$J$1,"NÁZEV MÍSTNOSTÍ","SKLAD","četnost úklidu
počet dní v týdnu","na vyžádání")</f>
        <v>158.51</v>
      </c>
      <c r="F134" s="1">
        <v>0</v>
      </c>
      <c r="G134" s="2">
        <f t="shared" si="5"/>
        <v>158.51</v>
      </c>
      <c r="H134" s="102"/>
      <c r="I134" s="138">
        <f t="shared" si="4"/>
        <v>0</v>
      </c>
    </row>
    <row r="135" spans="1:14" x14ac:dyDescent="0.3">
      <c r="A135" s="2" t="s">
        <v>65</v>
      </c>
      <c r="B135" s="2" t="s">
        <v>61</v>
      </c>
      <c r="C135" s="2" t="str">
        <f>'Dílny 1np'!J53</f>
        <v>SKLAD KOMPRESORŮ</v>
      </c>
      <c r="D135" s="2" t="s">
        <v>18</v>
      </c>
      <c r="E135" s="2">
        <f>GETPIVOTDATA("PLOCHA (m2)",'Dílny 1np'!$J$1,"NÁZEV MÍSTNOSTÍ","SKLAD KOMPRESORŮ","četnost úklidu
počet dní v týdnu","na vyžádání")</f>
        <v>12.39</v>
      </c>
      <c r="F135" s="1">
        <v>0</v>
      </c>
      <c r="G135" s="2">
        <f t="shared" si="5"/>
        <v>12.39</v>
      </c>
      <c r="H135" s="102"/>
      <c r="I135" s="138">
        <f t="shared" si="4"/>
        <v>0</v>
      </c>
    </row>
    <row r="136" spans="1:14" x14ac:dyDescent="0.3">
      <c r="A136" s="2" t="s">
        <v>65</v>
      </c>
      <c r="B136" s="2" t="s">
        <v>61</v>
      </c>
      <c r="C136" s="2" t="str">
        <f>'Dílny 1np'!J54</f>
        <v>SKLEP</v>
      </c>
      <c r="D136" s="2" t="s">
        <v>18</v>
      </c>
      <c r="E136" s="2">
        <f>GETPIVOTDATA("PLOCHA (m2)",'Dílny 1np'!$J$1,"NÁZEV MÍSTNOSTÍ","SKLEP","četnost úklidu
počet dní v týdnu","na vyžádání")</f>
        <v>69.47</v>
      </c>
      <c r="F136" s="1">
        <v>0</v>
      </c>
      <c r="G136" s="2">
        <f t="shared" si="5"/>
        <v>69.47</v>
      </c>
      <c r="H136" s="102"/>
      <c r="I136" s="138">
        <f t="shared" si="4"/>
        <v>0</v>
      </c>
    </row>
    <row r="137" spans="1:14" x14ac:dyDescent="0.3">
      <c r="A137" s="2" t="s">
        <v>65</v>
      </c>
      <c r="B137" s="2" t="s">
        <v>61</v>
      </c>
      <c r="C137" s="2" t="str">
        <f>'Dílny 1np'!J55</f>
        <v>TEMNÁ KOMORA</v>
      </c>
      <c r="D137" s="2" t="s">
        <v>18</v>
      </c>
      <c r="E137" s="2">
        <f>GETPIVOTDATA("PLOCHA (m2)",'Dílny 1np'!$J$1,"NÁZEV MÍSTNOSTÍ","TEMNÁ KOMORA","četnost úklidu
počet dní v týdnu","na vyžádání")</f>
        <v>8.5299999999999994</v>
      </c>
      <c r="F137" s="1">
        <v>0</v>
      </c>
      <c r="G137" s="2">
        <f t="shared" si="5"/>
        <v>8.5299999999999994</v>
      </c>
      <c r="H137" s="102"/>
      <c r="I137" s="138">
        <f t="shared" si="4"/>
        <v>0</v>
      </c>
      <c r="N137">
        <f>SUM(E90:E137)</f>
        <v>4907.8900000000021</v>
      </c>
    </row>
    <row r="138" spans="1:14" x14ac:dyDescent="0.3">
      <c r="A138" s="2" t="s">
        <v>65</v>
      </c>
      <c r="B138" s="2" t="s">
        <v>63</v>
      </c>
      <c r="C138" s="2" t="str">
        <f>'Dílny 2np'!J3</f>
        <v>PIVOVAR - PŘÍPRAVNA</v>
      </c>
      <c r="D138" s="2" t="s">
        <v>18</v>
      </c>
      <c r="E138" s="2">
        <f>GETPIVOTDATA("PLOCHA (m2)",'Dílny 2np'!$J$1,"NÁZEV MÍSTNOSTÍ","PIVOVAR - PŘÍPRAVNA","četnost úklidu
počet dní v týdnu",0)</f>
        <v>3.18</v>
      </c>
      <c r="F138" s="1">
        <f>'Dílny 2np'!J2</f>
        <v>0</v>
      </c>
      <c r="G138" s="2">
        <f t="shared" si="5"/>
        <v>3.18</v>
      </c>
      <c r="H138" s="102"/>
      <c r="I138" s="138">
        <f t="shared" si="4"/>
        <v>0</v>
      </c>
    </row>
    <row r="139" spans="1:14" x14ac:dyDescent="0.3">
      <c r="A139" s="2" t="s">
        <v>65</v>
      </c>
      <c r="B139" s="2" t="s">
        <v>63</v>
      </c>
      <c r="C139" s="2" t="str">
        <f>'Dílny 2np'!J4</f>
        <v>SCHODIŠTĚ</v>
      </c>
      <c r="D139" s="2" t="s">
        <v>18</v>
      </c>
      <c r="E139" s="2">
        <f>GETPIVOTDATA("PLOCHA (m2)",'Dílny 2np'!$J$1,"NÁZEV MÍSTNOSTÍ","SCHODIŠTĚ","četnost úklidu
počet dní v týdnu",0)</f>
        <v>13.719999999999999</v>
      </c>
      <c r="F139" s="1">
        <f>'Dílny 2np'!J2</f>
        <v>0</v>
      </c>
      <c r="G139" s="2">
        <f t="shared" si="5"/>
        <v>13.719999999999999</v>
      </c>
      <c r="H139" s="102"/>
      <c r="I139" s="138">
        <f t="shared" si="4"/>
        <v>0</v>
      </c>
    </row>
    <row r="140" spans="1:14" x14ac:dyDescent="0.3">
      <c r="A140" s="2" t="s">
        <v>65</v>
      </c>
      <c r="B140" s="2" t="s">
        <v>63</v>
      </c>
      <c r="C140" s="2" t="str">
        <f>'Dílny 2np'!J6</f>
        <v>CHODBA</v>
      </c>
      <c r="D140" s="2" t="s">
        <v>18</v>
      </c>
      <c r="E140" s="2">
        <f>GETPIVOTDATA("PLOCHA (m2)",'Dílny 2np'!$J$1,"NÁZEV MÍSTNOSTÍ","CHODBA","četnost úklidu
počet dní v týdnu",1)</f>
        <v>24.14</v>
      </c>
      <c r="F140" s="1">
        <f>'Dílny 2np'!$J$5</f>
        <v>1</v>
      </c>
      <c r="G140" s="2">
        <f t="shared" si="5"/>
        <v>24.14</v>
      </c>
      <c r="H140" s="102"/>
      <c r="I140" s="138">
        <f t="shared" si="4"/>
        <v>0</v>
      </c>
    </row>
    <row r="141" spans="1:14" x14ac:dyDescent="0.3">
      <c r="A141" s="2" t="s">
        <v>65</v>
      </c>
      <c r="B141" s="2" t="s">
        <v>63</v>
      </c>
      <c r="C141" s="2" t="str">
        <f>'Dílny 2np'!J7</f>
        <v>LABORATOŘ TRIBOTECHNIKY</v>
      </c>
      <c r="D141" s="2" t="s">
        <v>18</v>
      </c>
      <c r="E141" s="2">
        <f>GETPIVOTDATA("PLOCHA (m2)",'Dílny 2np'!$J$1,"NÁZEV MÍSTNOSTÍ","LABORATOŘ TRIBOTECHNIKY","četnost úklidu
počet dní v týdnu",1)</f>
        <v>39.340000000000003</v>
      </c>
      <c r="F141" s="1">
        <f>'Dílny 2np'!$J$5</f>
        <v>1</v>
      </c>
      <c r="G141" s="2">
        <f t="shared" si="5"/>
        <v>39.340000000000003</v>
      </c>
      <c r="H141" s="102"/>
      <c r="I141" s="138">
        <f t="shared" si="4"/>
        <v>0</v>
      </c>
    </row>
    <row r="142" spans="1:14" x14ac:dyDescent="0.3">
      <c r="A142" s="2" t="s">
        <v>65</v>
      </c>
      <c r="B142" s="2" t="s">
        <v>63</v>
      </c>
      <c r="C142" s="2" t="str">
        <f>'Dílny 2np'!J8</f>
        <v>PŘÍPRAVNA</v>
      </c>
      <c r="D142" s="2" t="s">
        <v>18</v>
      </c>
      <c r="E142" s="2">
        <f>GETPIVOTDATA("PLOCHA (m2)",'Dílny 2np'!$J$1,"NÁZEV MÍSTNOSTÍ","PŘÍPRAVNA","četnost úklidu
počet dní v týdnu",1)</f>
        <v>23.15</v>
      </c>
      <c r="F142" s="1">
        <f>'Dílny 2np'!$J$5</f>
        <v>1</v>
      </c>
      <c r="G142" s="2">
        <f t="shared" si="5"/>
        <v>23.15</v>
      </c>
      <c r="H142" s="102"/>
      <c r="I142" s="138">
        <f t="shared" si="4"/>
        <v>0</v>
      </c>
    </row>
    <row r="143" spans="1:14" x14ac:dyDescent="0.3">
      <c r="A143" s="2" t="s">
        <v>65</v>
      </c>
      <c r="B143" s="2" t="s">
        <v>63</v>
      </c>
      <c r="C143" s="2" t="str">
        <f>'Dílny 2np'!J9</f>
        <v>SCHODIŠTĚ</v>
      </c>
      <c r="D143" s="2" t="s">
        <v>18</v>
      </c>
      <c r="E143" s="2">
        <f>GETPIVOTDATA("PLOCHA (m2)",'Dílny 2np'!$J$1,"NÁZEV MÍSTNOSTÍ","SCHODIŠTĚ","četnost úklidu
počet dní v týdnu",1)</f>
        <v>8.5399999999999991</v>
      </c>
      <c r="F143" s="1">
        <f>'Dílny 2np'!$J$5</f>
        <v>1</v>
      </c>
      <c r="G143" s="2">
        <f t="shared" si="5"/>
        <v>8.5399999999999991</v>
      </c>
      <c r="H143" s="102"/>
      <c r="I143" s="138">
        <f t="shared" si="4"/>
        <v>0</v>
      </c>
    </row>
    <row r="144" spans="1:14" x14ac:dyDescent="0.3">
      <c r="A144" s="2" t="s">
        <v>65</v>
      </c>
      <c r="B144" s="2" t="s">
        <v>63</v>
      </c>
      <c r="C144" s="2" t="str">
        <f>'Dílny 2np'!J11</f>
        <v>KANCELÁŘ</v>
      </c>
      <c r="D144" s="2" t="s">
        <v>18</v>
      </c>
      <c r="E144" s="2">
        <f>GETPIVOTDATA("PLOCHA (m2)",'Dílny 2np'!$J$1,"NÁZEV MÍSTNOSTÍ","KANCELÁŘ","četnost úklidu
počet dní v týdnu",2)</f>
        <v>21.53</v>
      </c>
      <c r="F144" s="1">
        <f>'Dílny 2np'!J10</f>
        <v>2</v>
      </c>
      <c r="G144" s="2">
        <f t="shared" si="5"/>
        <v>21.53</v>
      </c>
      <c r="H144" s="102"/>
      <c r="I144" s="138">
        <f t="shared" ref="I144:I151" si="6">E144*H144*21.25</f>
        <v>0</v>
      </c>
    </row>
    <row r="145" spans="1:14" x14ac:dyDescent="0.3">
      <c r="A145" s="2" t="s">
        <v>65</v>
      </c>
      <c r="B145" s="2" t="s">
        <v>63</v>
      </c>
      <c r="C145" s="2" t="str">
        <f>'Dílny 2np'!J12</f>
        <v>PIVOVAR - UČEBNA</v>
      </c>
      <c r="D145" s="2" t="s">
        <v>18</v>
      </c>
      <c r="E145" s="2">
        <f>GETPIVOTDATA("PLOCHA (m2)",'Dílny 2np'!$J$1,"NÁZEV MÍSTNOSTÍ","PIVOVAR - UČEBNA","četnost úklidu
počet dní v týdnu",2)</f>
        <v>57.41</v>
      </c>
      <c r="F145" s="1">
        <f>'Dílny 2np'!J10</f>
        <v>2</v>
      </c>
      <c r="G145" s="2">
        <f t="shared" si="5"/>
        <v>57.41</v>
      </c>
      <c r="H145" s="102"/>
      <c r="I145" s="138">
        <f t="shared" si="6"/>
        <v>0</v>
      </c>
    </row>
    <row r="146" spans="1:14" x14ac:dyDescent="0.3">
      <c r="A146" s="2" t="s">
        <v>65</v>
      </c>
      <c r="B146" s="2" t="s">
        <v>63</v>
      </c>
      <c r="C146" s="2" t="str">
        <f>'Dílny 2np'!J14</f>
        <v>KANCELÁŘ</v>
      </c>
      <c r="D146" s="2" t="s">
        <v>18</v>
      </c>
      <c r="E146" s="2">
        <f>GETPIVOTDATA("PLOCHA (m2)",'Dílny 2np'!$J$1,"NÁZEV MÍSTNOSTÍ","KANCELÁŘ","četnost úklidu
počet dní v týdnu",3)</f>
        <v>79.83</v>
      </c>
      <c r="F146" s="1">
        <f>'Dílny 2np'!J13</f>
        <v>3</v>
      </c>
      <c r="G146" s="2">
        <f t="shared" si="5"/>
        <v>79.83</v>
      </c>
      <c r="H146" s="102"/>
      <c r="I146" s="138">
        <f t="shared" si="6"/>
        <v>0</v>
      </c>
    </row>
    <row r="147" spans="1:14" x14ac:dyDescent="0.3">
      <c r="A147" s="2" t="s">
        <v>65</v>
      </c>
      <c r="B147" s="2" t="s">
        <v>63</v>
      </c>
      <c r="C147" s="2" t="str">
        <f>'Dílny 2np'!J16</f>
        <v>LABORATOŘ</v>
      </c>
      <c r="D147" s="2" t="s">
        <v>18</v>
      </c>
      <c r="E147" s="2">
        <f>GETPIVOTDATA("PLOCHA (m2)",'Dílny 2np'!$J$1,"NÁZEV MÍSTNOSTÍ","LABORATOŘ","četnost úklidu
počet dní v týdnu",5)</f>
        <v>40.630000000000003</v>
      </c>
      <c r="F147" s="1">
        <f>'Dílny 2np'!J15</f>
        <v>5</v>
      </c>
      <c r="G147" s="2">
        <f t="shared" si="5"/>
        <v>40.630000000000003</v>
      </c>
      <c r="H147" s="102"/>
      <c r="I147" s="138">
        <f t="shared" si="6"/>
        <v>0</v>
      </c>
    </row>
    <row r="148" spans="1:14" x14ac:dyDescent="0.3">
      <c r="A148" s="2" t="s">
        <v>65</v>
      </c>
      <c r="B148" s="2" t="s">
        <v>63</v>
      </c>
      <c r="C148" s="2" t="str">
        <f>'Dílny 2np'!J17</f>
        <v>UČEBNA</v>
      </c>
      <c r="D148" s="2" t="s">
        <v>18</v>
      </c>
      <c r="E148" s="2">
        <f>GETPIVOTDATA("PLOCHA (m2)",'Dílny 2np'!$J$1,"NÁZEV MÍSTNOSTÍ","UČEBNA","četnost úklidu
počet dní v týdnu",5)</f>
        <v>115.16</v>
      </c>
      <c r="F148" s="1">
        <f>'Dílny 2np'!J15</f>
        <v>5</v>
      </c>
      <c r="G148" s="2">
        <f t="shared" si="5"/>
        <v>115.16</v>
      </c>
      <c r="H148" s="102"/>
      <c r="I148" s="138">
        <f t="shared" si="6"/>
        <v>0</v>
      </c>
    </row>
    <row r="149" spans="1:14" x14ac:dyDescent="0.3">
      <c r="A149" s="2" t="s">
        <v>65</v>
      </c>
      <c r="B149" s="2" t="s">
        <v>63</v>
      </c>
      <c r="C149" s="2" t="str">
        <f>'Dílny 2np'!J19</f>
        <v>HYGIENICKÉ ZÁZEMÍ</v>
      </c>
      <c r="D149" s="2" t="s">
        <v>18</v>
      </c>
      <c r="E149" s="2">
        <f>GETPIVOTDATA("PLOCHA (m2)",'Dílny 2np'!$J$1,"NÁZEV MÍSTNOSTÍ","HYGIENICKÉ ZÁZEMÍ","četnost úklidu
počet dní v týdnu","na vyžádání")</f>
        <v>6.4</v>
      </c>
      <c r="F149" s="1">
        <v>0</v>
      </c>
      <c r="G149" s="2">
        <f t="shared" si="5"/>
        <v>6.4</v>
      </c>
      <c r="H149" s="102"/>
      <c r="I149" s="138">
        <f t="shared" si="6"/>
        <v>0</v>
      </c>
    </row>
    <row r="150" spans="1:14" x14ac:dyDescent="0.3">
      <c r="A150" s="2" t="s">
        <v>65</v>
      </c>
      <c r="B150" s="2" t="s">
        <v>63</v>
      </c>
      <c r="C150" s="2" t="str">
        <f>'Dílny 2np'!J20</f>
        <v>KONZULTAČNÍ MÍSTNOST</v>
      </c>
      <c r="D150" s="2" t="s">
        <v>18</v>
      </c>
      <c r="E150" s="2">
        <f>GETPIVOTDATA("PLOCHA (m2)",'Dílny 2np'!$J$1,"NÁZEV MÍSTNOSTÍ","KONZULTAČNÍ MÍSTNOST","četnost úklidu
počet dní v týdnu","na vyžádání")</f>
        <v>64.58</v>
      </c>
      <c r="F150" s="1">
        <v>0</v>
      </c>
      <c r="G150" s="2">
        <f t="shared" si="5"/>
        <v>64.58</v>
      </c>
      <c r="H150" s="102"/>
      <c r="I150" s="138">
        <f t="shared" si="6"/>
        <v>0</v>
      </c>
    </row>
    <row r="151" spans="1:14" x14ac:dyDescent="0.3">
      <c r="A151" s="2" t="s">
        <v>65</v>
      </c>
      <c r="B151" s="2" t="s">
        <v>63</v>
      </c>
      <c r="C151" s="2" t="str">
        <f>'Dílny 2np'!J21</f>
        <v>SKLAD</v>
      </c>
      <c r="D151" s="2" t="s">
        <v>18</v>
      </c>
      <c r="E151" s="2">
        <f>GETPIVOTDATA("PLOCHA (m2)",'Dílny 2np'!$J$1,"NÁZEV MÍSTNOSTÍ","SKLAD","četnost úklidu
počet dní v týdnu","na vyžádání")</f>
        <v>8.76</v>
      </c>
      <c r="F151" s="1">
        <v>0</v>
      </c>
      <c r="G151" s="2">
        <f t="shared" si="5"/>
        <v>8.76</v>
      </c>
      <c r="H151" s="102"/>
      <c r="I151" s="138">
        <f t="shared" si="6"/>
        <v>0</v>
      </c>
      <c r="J151" s="323"/>
      <c r="K151" s="323"/>
      <c r="N151">
        <f>SUM(E138:E151)</f>
        <v>506.36999999999995</v>
      </c>
    </row>
    <row r="152" spans="1:14" ht="30" customHeight="1" x14ac:dyDescent="0.3">
      <c r="C152" s="333" t="s">
        <v>32</v>
      </c>
      <c r="D152" s="333"/>
      <c r="E152" s="100" t="s">
        <v>33</v>
      </c>
      <c r="F152" s="100"/>
      <c r="G152" s="100"/>
      <c r="H152" s="139"/>
      <c r="I152" s="319"/>
    </row>
    <row r="153" spans="1:14" ht="30" customHeight="1" x14ac:dyDescent="0.3">
      <c r="A153" s="324"/>
      <c r="B153" s="324"/>
      <c r="C153" s="325" t="s">
        <v>34</v>
      </c>
      <c r="D153" s="326" t="s">
        <v>35</v>
      </c>
      <c r="E153" s="327">
        <v>1</v>
      </c>
      <c r="F153" s="327"/>
      <c r="G153" s="327"/>
      <c r="H153" s="102"/>
      <c r="I153" s="328">
        <f>H153*E153</f>
        <v>0</v>
      </c>
      <c r="J153" s="324"/>
      <c r="K153" s="324"/>
      <c r="L153" s="324"/>
      <c r="M153" s="324"/>
    </row>
    <row r="154" spans="1:14" ht="61.2" customHeight="1" x14ac:dyDescent="0.3">
      <c r="C154" s="135" t="s">
        <v>1491</v>
      </c>
      <c r="D154" s="136" t="s">
        <v>1489</v>
      </c>
      <c r="E154" s="2">
        <v>150</v>
      </c>
      <c r="F154" s="2"/>
      <c r="G154" s="2"/>
      <c r="H154" s="102"/>
      <c r="I154" s="138">
        <f t="shared" ref="I154:I159" si="7">H154*E154</f>
        <v>0</v>
      </c>
    </row>
    <row r="155" spans="1:14" x14ac:dyDescent="0.3">
      <c r="C155" s="135" t="s">
        <v>37</v>
      </c>
      <c r="D155" s="137" t="s">
        <v>38</v>
      </c>
      <c r="E155" s="2">
        <v>1</v>
      </c>
      <c r="F155" s="2"/>
      <c r="G155" s="2"/>
      <c r="H155" s="102"/>
      <c r="I155" s="138">
        <f t="shared" si="7"/>
        <v>0</v>
      </c>
    </row>
    <row r="156" spans="1:14" x14ac:dyDescent="0.3">
      <c r="C156" s="135" t="s">
        <v>66</v>
      </c>
      <c r="D156" s="137" t="s">
        <v>38</v>
      </c>
      <c r="E156" s="2">
        <v>2000</v>
      </c>
      <c r="F156" s="2"/>
      <c r="G156" s="2"/>
      <c r="H156" s="102"/>
      <c r="I156" s="138">
        <f t="shared" si="7"/>
        <v>0</v>
      </c>
    </row>
    <row r="157" spans="1:14" x14ac:dyDescent="0.3">
      <c r="C157" s="135" t="s">
        <v>40</v>
      </c>
      <c r="D157" s="137" t="s">
        <v>38</v>
      </c>
      <c r="E157" s="138">
        <f>SUM(E30:E151)</f>
        <v>12632.910000000002</v>
      </c>
      <c r="F157" s="138"/>
      <c r="G157" s="138"/>
      <c r="H157" s="102"/>
      <c r="I157" s="138">
        <f t="shared" si="7"/>
        <v>0</v>
      </c>
    </row>
    <row r="158" spans="1:14" x14ac:dyDescent="0.3">
      <c r="C158" s="135" t="s">
        <v>41</v>
      </c>
      <c r="D158" s="137" t="s">
        <v>38</v>
      </c>
      <c r="E158" s="138">
        <v>150</v>
      </c>
      <c r="F158" s="138"/>
      <c r="G158" s="138"/>
      <c r="H158" s="102"/>
      <c r="I158" s="138">
        <f t="shared" si="7"/>
        <v>0</v>
      </c>
    </row>
    <row r="159" spans="1:14" ht="58.8" customHeight="1" x14ac:dyDescent="0.3">
      <c r="C159" s="94" t="s">
        <v>42</v>
      </c>
      <c r="D159" s="136" t="s">
        <v>1489</v>
      </c>
      <c r="E159" s="318">
        <v>106</v>
      </c>
      <c r="F159" s="138"/>
      <c r="G159" s="138"/>
      <c r="H159" s="102"/>
      <c r="I159" s="138">
        <f t="shared" si="7"/>
        <v>0</v>
      </c>
    </row>
    <row r="160" spans="1:14" ht="43.2" x14ac:dyDescent="0.3">
      <c r="C160" s="333" t="s">
        <v>43</v>
      </c>
      <c r="D160" s="333"/>
      <c r="E160" s="100" t="s">
        <v>44</v>
      </c>
      <c r="F160" s="100"/>
      <c r="G160" s="100"/>
      <c r="H160" s="139"/>
      <c r="I160" s="319"/>
    </row>
    <row r="161" spans="3:11" x14ac:dyDescent="0.3">
      <c r="C161" s="135" t="s">
        <v>45</v>
      </c>
      <c r="D161" s="137" t="s">
        <v>46</v>
      </c>
      <c r="E161" s="2">
        <v>40</v>
      </c>
      <c r="F161" s="2"/>
      <c r="G161" s="2"/>
      <c r="H161" s="102"/>
      <c r="I161" s="138">
        <f>H161*E161</f>
        <v>0</v>
      </c>
    </row>
    <row r="162" spans="3:11" ht="28.8" x14ac:dyDescent="0.3">
      <c r="C162" s="135" t="s">
        <v>48</v>
      </c>
      <c r="D162" s="137" t="s">
        <v>49</v>
      </c>
      <c r="E162" s="2">
        <v>100</v>
      </c>
      <c r="F162" s="2"/>
      <c r="G162" s="2"/>
      <c r="H162" s="102"/>
      <c r="I162" s="138">
        <f t="shared" ref="I162:I166" si="8">H162*E162</f>
        <v>0</v>
      </c>
    </row>
    <row r="163" spans="3:11" ht="28.8" x14ac:dyDescent="0.3">
      <c r="C163" s="135" t="s">
        <v>50</v>
      </c>
      <c r="D163" s="137" t="s">
        <v>51</v>
      </c>
      <c r="E163" s="2">
        <v>50</v>
      </c>
      <c r="F163" s="2"/>
      <c r="G163" s="2"/>
      <c r="H163" s="102"/>
      <c r="I163" s="138">
        <f t="shared" si="8"/>
        <v>0</v>
      </c>
    </row>
    <row r="164" spans="3:11" x14ac:dyDescent="0.3">
      <c r="C164" s="135" t="s">
        <v>52</v>
      </c>
      <c r="D164" s="137" t="s">
        <v>51</v>
      </c>
      <c r="E164" s="2">
        <v>50</v>
      </c>
      <c r="F164" s="2"/>
      <c r="G164" s="2"/>
      <c r="H164" s="102"/>
      <c r="I164" s="138">
        <f t="shared" ref="I164" si="9">H164*E164</f>
        <v>0</v>
      </c>
    </row>
    <row r="165" spans="3:11" ht="28.8" x14ac:dyDescent="0.3">
      <c r="C165" s="135" t="s">
        <v>53</v>
      </c>
      <c r="D165" s="137" t="s">
        <v>49</v>
      </c>
      <c r="E165" s="2">
        <v>200</v>
      </c>
      <c r="F165" s="2"/>
      <c r="G165" s="2"/>
      <c r="H165" s="102"/>
      <c r="I165" s="138">
        <f t="shared" si="8"/>
        <v>0</v>
      </c>
    </row>
    <row r="166" spans="3:11" x14ac:dyDescent="0.3">
      <c r="C166" s="135" t="s">
        <v>54</v>
      </c>
      <c r="D166" s="137" t="s">
        <v>55</v>
      </c>
      <c r="E166" s="2">
        <v>50</v>
      </c>
      <c r="F166" s="2"/>
      <c r="G166" s="2"/>
      <c r="H166" s="102"/>
      <c r="I166" s="138">
        <f t="shared" si="8"/>
        <v>0</v>
      </c>
    </row>
    <row r="168" spans="3:11" x14ac:dyDescent="0.3">
      <c r="C168" s="146" t="s">
        <v>56</v>
      </c>
      <c r="D168" s="147"/>
      <c r="E168" s="148" t="s">
        <v>57</v>
      </c>
    </row>
    <row r="169" spans="3:11" x14ac:dyDescent="0.3">
      <c r="C169" s="2" t="s">
        <v>8</v>
      </c>
      <c r="D169" s="140">
        <v>0.85</v>
      </c>
      <c r="E169" s="141">
        <f>SUM(I30:I151)</f>
        <v>0</v>
      </c>
      <c r="K169" s="323"/>
    </row>
    <row r="170" spans="3:11" x14ac:dyDescent="0.3">
      <c r="C170" s="137" t="s">
        <v>32</v>
      </c>
      <c r="D170" s="140">
        <v>0.1</v>
      </c>
      <c r="E170" s="141">
        <f>SUM(I154:I159)*D170</f>
        <v>0</v>
      </c>
    </row>
    <row r="171" spans="3:11" x14ac:dyDescent="0.3">
      <c r="C171" s="142" t="s">
        <v>43</v>
      </c>
      <c r="D171" s="140">
        <v>0.05</v>
      </c>
      <c r="E171" s="141">
        <f>SUM(I161:I166)*D171</f>
        <v>0</v>
      </c>
    </row>
    <row r="172" spans="3:11" x14ac:dyDescent="0.3">
      <c r="C172" s="143"/>
      <c r="D172" s="144"/>
      <c r="E172" s="145">
        <f>E171+E170+E169</f>
        <v>0</v>
      </c>
    </row>
  </sheetData>
  <protectedRanges>
    <protectedRange sqref="H154:H159" name="Oblast1_2"/>
    <protectedRange sqref="H161:H166" name="Oblast1_5"/>
    <protectedRange sqref="H153" name="Oblast1"/>
  </protectedRanges>
  <mergeCells count="2">
    <mergeCell ref="C152:D152"/>
    <mergeCell ref="C160:D160"/>
  </mergeCells>
  <pageMargins left="0.7" right="0.7" top="0.78740157499999996" bottom="0.78740157499999996" header="0.3" footer="0.3"/>
  <pageSetup paperSize="9" orientation="portrait" r:id="rId1"/>
  <ignoredErrors>
    <ignoredError sqref="I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"/>
  <sheetViews>
    <sheetView topLeftCell="A7" workbookViewId="0">
      <selection activeCell="I21" sqref="I21"/>
    </sheetView>
  </sheetViews>
  <sheetFormatPr defaultRowHeight="14.4" x14ac:dyDescent="0.3"/>
  <cols>
    <col min="1" max="1" width="10.5546875" bestFit="1" customWidth="1"/>
    <col min="2" max="2" width="7.21875" style="99" bestFit="1" customWidth="1"/>
    <col min="3" max="3" width="16.5546875" style="235" bestFit="1" customWidth="1"/>
    <col min="4" max="4" width="11.5546875" style="4" bestFit="1" customWidth="1"/>
    <col min="5" max="5" width="10.44140625" style="236" bestFit="1" customWidth="1"/>
    <col min="6" max="6" width="15.21875" style="237" bestFit="1" customWidth="1"/>
    <col min="7" max="7" width="11.44140625" style="4" bestFit="1" customWidth="1"/>
    <col min="8" max="8" width="10.21875" style="4" customWidth="1"/>
    <col min="9" max="9" width="12.44140625" customWidth="1"/>
    <col min="11" max="11" width="21.77734375" customWidth="1"/>
    <col min="12" max="12" width="19.44140625" customWidth="1"/>
    <col min="13" max="13" width="14.44140625" customWidth="1"/>
  </cols>
  <sheetData>
    <row r="1" spans="1:13" s="222" customFormat="1" ht="18.600000000000001" thickTop="1" thickBot="1" x14ac:dyDescent="0.35">
      <c r="A1" s="334" t="s">
        <v>67</v>
      </c>
      <c r="B1" s="335"/>
      <c r="C1" s="335"/>
      <c r="D1" s="335"/>
      <c r="E1" s="335"/>
      <c r="F1" s="335"/>
      <c r="G1" s="335"/>
      <c r="H1" s="336"/>
      <c r="I1" s="321"/>
      <c r="J1" s="38"/>
      <c r="K1" s="89" t="s">
        <v>68</v>
      </c>
      <c r="L1" t="s">
        <v>69</v>
      </c>
      <c r="M1"/>
    </row>
    <row r="2" spans="1:13" s="222" customFormat="1" ht="15.6" thickTop="1" thickBot="1" x14ac:dyDescent="0.35">
      <c r="A2" s="81" t="s">
        <v>70</v>
      </c>
      <c r="B2" s="223" t="s">
        <v>71</v>
      </c>
      <c r="C2" s="81" t="s">
        <v>72</v>
      </c>
      <c r="D2" s="105" t="s">
        <v>73</v>
      </c>
      <c r="E2" s="83" t="s">
        <v>74</v>
      </c>
      <c r="F2" s="81" t="s">
        <v>75</v>
      </c>
      <c r="G2" s="81" t="s">
        <v>76</v>
      </c>
      <c r="H2" s="85" t="s">
        <v>77</v>
      </c>
      <c r="I2" s="224" t="s">
        <v>78</v>
      </c>
      <c r="J2" s="38"/>
      <c r="K2" s="90" t="s">
        <v>25</v>
      </c>
      <c r="L2">
        <v>686.79999999999984</v>
      </c>
      <c r="M2"/>
    </row>
    <row r="3" spans="1:13" ht="15" thickTop="1" x14ac:dyDescent="0.3">
      <c r="A3" s="225" t="s">
        <v>79</v>
      </c>
      <c r="B3" s="226"/>
      <c r="C3" s="227" t="s">
        <v>80</v>
      </c>
      <c r="D3" s="228">
        <v>8.3000000000000007</v>
      </c>
      <c r="E3" s="229">
        <v>2.1</v>
      </c>
      <c r="F3" s="230" t="s">
        <v>81</v>
      </c>
      <c r="G3" s="108"/>
      <c r="H3" s="108"/>
      <c r="I3" s="231" t="s">
        <v>25</v>
      </c>
      <c r="K3" s="99" t="s">
        <v>82</v>
      </c>
      <c r="L3">
        <v>153.4</v>
      </c>
    </row>
    <row r="4" spans="1:13" x14ac:dyDescent="0.3">
      <c r="A4" s="1" t="s">
        <v>83</v>
      </c>
      <c r="B4" s="232"/>
      <c r="C4" s="233" t="s">
        <v>84</v>
      </c>
      <c r="D4" s="114">
        <v>170.5</v>
      </c>
      <c r="E4" s="110" t="s">
        <v>85</v>
      </c>
      <c r="F4" s="230" t="s">
        <v>81</v>
      </c>
      <c r="G4" s="1"/>
      <c r="H4" s="1"/>
      <c r="I4" s="231" t="s">
        <v>25</v>
      </c>
      <c r="K4" s="99" t="s">
        <v>86</v>
      </c>
      <c r="L4">
        <v>9.6</v>
      </c>
    </row>
    <row r="5" spans="1:13" x14ac:dyDescent="0.3">
      <c r="A5" s="1" t="s">
        <v>87</v>
      </c>
      <c r="B5" s="232"/>
      <c r="C5" s="233" t="s">
        <v>88</v>
      </c>
      <c r="D5" s="114">
        <v>22.5</v>
      </c>
      <c r="E5" s="110">
        <v>2.7</v>
      </c>
      <c r="F5" s="230" t="s">
        <v>89</v>
      </c>
      <c r="G5" s="1" t="s">
        <v>90</v>
      </c>
      <c r="H5" s="1"/>
      <c r="I5" s="231" t="s">
        <v>25</v>
      </c>
      <c r="K5" s="99" t="s">
        <v>91</v>
      </c>
      <c r="L5">
        <v>43.3</v>
      </c>
    </row>
    <row r="6" spans="1:13" x14ac:dyDescent="0.3">
      <c r="A6" s="1" t="s">
        <v>92</v>
      </c>
      <c r="B6" s="232"/>
      <c r="C6" s="233" t="s">
        <v>93</v>
      </c>
      <c r="D6" s="114">
        <v>5.5</v>
      </c>
      <c r="E6" s="110">
        <v>2.7</v>
      </c>
      <c r="F6" s="230" t="s">
        <v>89</v>
      </c>
      <c r="G6" s="1" t="s">
        <v>90</v>
      </c>
      <c r="H6" s="1"/>
      <c r="I6" s="231" t="s">
        <v>25</v>
      </c>
      <c r="K6" s="99" t="s">
        <v>88</v>
      </c>
      <c r="L6">
        <v>22.5</v>
      </c>
    </row>
    <row r="7" spans="1:13" x14ac:dyDescent="0.3">
      <c r="A7" s="1" t="s">
        <v>94</v>
      </c>
      <c r="B7" s="232"/>
      <c r="C7" s="233" t="s">
        <v>95</v>
      </c>
      <c r="D7" s="114">
        <v>1.8</v>
      </c>
      <c r="E7" s="110">
        <v>2.7</v>
      </c>
      <c r="F7" s="230" t="s">
        <v>89</v>
      </c>
      <c r="G7" s="1" t="s">
        <v>90</v>
      </c>
      <c r="H7" s="1"/>
      <c r="I7" s="231" t="s">
        <v>25</v>
      </c>
      <c r="K7" s="99" t="s">
        <v>93</v>
      </c>
      <c r="L7">
        <v>5.5</v>
      </c>
    </row>
    <row r="8" spans="1:13" x14ac:dyDescent="0.3">
      <c r="A8" s="1" t="s">
        <v>96</v>
      </c>
      <c r="B8" s="232"/>
      <c r="C8" s="233" t="s">
        <v>91</v>
      </c>
      <c r="D8" s="114">
        <v>43.3</v>
      </c>
      <c r="E8" s="110">
        <v>2.7</v>
      </c>
      <c r="F8" s="230" t="s">
        <v>89</v>
      </c>
      <c r="G8" s="1"/>
      <c r="H8" s="1"/>
      <c r="I8" s="231" t="s">
        <v>25</v>
      </c>
      <c r="K8" s="99" t="s">
        <v>97</v>
      </c>
      <c r="L8">
        <v>117.3</v>
      </c>
    </row>
    <row r="9" spans="1:13" x14ac:dyDescent="0.3">
      <c r="A9" s="1" t="s">
        <v>98</v>
      </c>
      <c r="B9" s="232"/>
      <c r="C9" s="233" t="s">
        <v>99</v>
      </c>
      <c r="D9" s="114">
        <v>8.8000000000000007</v>
      </c>
      <c r="E9" s="110">
        <v>2.7</v>
      </c>
      <c r="F9" s="230" t="s">
        <v>89</v>
      </c>
      <c r="G9" s="1"/>
      <c r="H9" s="1"/>
      <c r="I9" s="231" t="s">
        <v>25</v>
      </c>
      <c r="K9" s="99" t="s">
        <v>84</v>
      </c>
      <c r="L9">
        <v>170.5</v>
      </c>
    </row>
    <row r="10" spans="1:13" x14ac:dyDescent="0.3">
      <c r="A10" s="1" t="s">
        <v>100</v>
      </c>
      <c r="B10" s="232"/>
      <c r="C10" s="233" t="s">
        <v>101</v>
      </c>
      <c r="D10" s="114">
        <v>8.3000000000000007</v>
      </c>
      <c r="E10" s="110">
        <v>2.7</v>
      </c>
      <c r="F10" s="230" t="s">
        <v>89</v>
      </c>
      <c r="G10" s="1" t="s">
        <v>90</v>
      </c>
      <c r="H10" s="1"/>
      <c r="I10" s="231" t="s">
        <v>25</v>
      </c>
      <c r="K10" s="99" t="s">
        <v>99</v>
      </c>
      <c r="L10">
        <v>8.8000000000000007</v>
      </c>
    </row>
    <row r="11" spans="1:13" x14ac:dyDescent="0.3">
      <c r="A11" s="1" t="s">
        <v>102</v>
      </c>
      <c r="B11" s="232"/>
      <c r="C11" s="233" t="s">
        <v>103</v>
      </c>
      <c r="D11" s="114">
        <v>1.3</v>
      </c>
      <c r="E11" s="110">
        <v>2.7</v>
      </c>
      <c r="F11" s="230" t="s">
        <v>89</v>
      </c>
      <c r="G11" s="1" t="s">
        <v>90</v>
      </c>
      <c r="H11" s="1"/>
      <c r="I11" s="231" t="s">
        <v>25</v>
      </c>
      <c r="K11" s="99" t="s">
        <v>95</v>
      </c>
      <c r="L11">
        <v>3.3</v>
      </c>
    </row>
    <row r="12" spans="1:13" x14ac:dyDescent="0.3">
      <c r="A12" s="1" t="s">
        <v>104</v>
      </c>
      <c r="B12" s="232"/>
      <c r="C12" s="233" t="s">
        <v>86</v>
      </c>
      <c r="D12" s="114">
        <v>9.6</v>
      </c>
      <c r="E12" s="110">
        <v>2.7</v>
      </c>
      <c r="F12" s="230" t="s">
        <v>89</v>
      </c>
      <c r="G12" s="1"/>
      <c r="H12" s="1"/>
      <c r="I12" s="231" t="s">
        <v>25</v>
      </c>
      <c r="K12" s="99" t="s">
        <v>105</v>
      </c>
      <c r="L12">
        <v>2.5</v>
      </c>
    </row>
    <row r="13" spans="1:13" x14ac:dyDescent="0.3">
      <c r="A13" s="1" t="s">
        <v>106</v>
      </c>
      <c r="B13" s="232"/>
      <c r="C13" s="233" t="s">
        <v>107</v>
      </c>
      <c r="D13" s="114">
        <v>2.7</v>
      </c>
      <c r="E13" s="110">
        <v>2.7</v>
      </c>
      <c r="F13" s="230" t="s">
        <v>89</v>
      </c>
      <c r="G13" s="1" t="s">
        <v>90</v>
      </c>
      <c r="H13" s="1"/>
      <c r="I13" s="231" t="s">
        <v>25</v>
      </c>
      <c r="K13" s="99" t="s">
        <v>101</v>
      </c>
      <c r="L13">
        <v>8.3000000000000007</v>
      </c>
    </row>
    <row r="14" spans="1:13" x14ac:dyDescent="0.3">
      <c r="A14" s="1" t="s">
        <v>108</v>
      </c>
      <c r="B14" s="232"/>
      <c r="C14" s="233" t="s">
        <v>109</v>
      </c>
      <c r="D14" s="114">
        <v>6.1</v>
      </c>
      <c r="E14" s="110">
        <v>2.7</v>
      </c>
      <c r="F14" s="230" t="s">
        <v>89</v>
      </c>
      <c r="G14" s="1" t="s">
        <v>90</v>
      </c>
      <c r="H14" s="1"/>
      <c r="I14" s="231" t="s">
        <v>25</v>
      </c>
      <c r="K14" s="99" t="s">
        <v>107</v>
      </c>
      <c r="L14">
        <v>2.7</v>
      </c>
    </row>
    <row r="15" spans="1:13" x14ac:dyDescent="0.3">
      <c r="A15" s="1" t="s">
        <v>110</v>
      </c>
      <c r="B15" s="232"/>
      <c r="C15" s="233" t="s">
        <v>111</v>
      </c>
      <c r="D15" s="114">
        <v>1.9</v>
      </c>
      <c r="E15" s="110">
        <v>2.7</v>
      </c>
      <c r="F15" s="230" t="s">
        <v>89</v>
      </c>
      <c r="G15" s="1" t="s">
        <v>112</v>
      </c>
      <c r="H15" s="1"/>
      <c r="I15" s="231" t="s">
        <v>25</v>
      </c>
      <c r="K15" s="99" t="s">
        <v>113</v>
      </c>
      <c r="L15">
        <v>113.5</v>
      </c>
    </row>
    <row r="16" spans="1:13" x14ac:dyDescent="0.3">
      <c r="A16" s="1" t="s">
        <v>114</v>
      </c>
      <c r="B16" s="232"/>
      <c r="C16" s="233" t="s">
        <v>105</v>
      </c>
      <c r="D16" s="114">
        <v>2.5</v>
      </c>
      <c r="E16" s="110">
        <v>2.7</v>
      </c>
      <c r="F16" s="230" t="s">
        <v>89</v>
      </c>
      <c r="G16" s="1" t="s">
        <v>90</v>
      </c>
      <c r="H16" s="1"/>
      <c r="I16" s="231" t="s">
        <v>25</v>
      </c>
      <c r="K16" s="99" t="s">
        <v>115</v>
      </c>
      <c r="L16">
        <v>8</v>
      </c>
    </row>
    <row r="17" spans="1:12" x14ac:dyDescent="0.3">
      <c r="A17" s="1" t="s">
        <v>116</v>
      </c>
      <c r="B17" s="232"/>
      <c r="C17" s="233" t="s">
        <v>115</v>
      </c>
      <c r="D17" s="114">
        <v>8</v>
      </c>
      <c r="E17" s="110">
        <v>2.7</v>
      </c>
      <c r="F17" s="230" t="s">
        <v>89</v>
      </c>
      <c r="G17" s="1" t="s">
        <v>90</v>
      </c>
      <c r="H17" s="1"/>
      <c r="I17" s="231" t="s">
        <v>25</v>
      </c>
      <c r="K17" s="99" t="s">
        <v>103</v>
      </c>
      <c r="L17">
        <v>1.3</v>
      </c>
    </row>
    <row r="18" spans="1:12" x14ac:dyDescent="0.3">
      <c r="A18" s="1" t="s">
        <v>117</v>
      </c>
      <c r="B18" s="232"/>
      <c r="C18" s="233" t="s">
        <v>95</v>
      </c>
      <c r="D18" s="114">
        <v>1.5</v>
      </c>
      <c r="E18" s="110">
        <v>2.7</v>
      </c>
      <c r="F18" s="230" t="s">
        <v>89</v>
      </c>
      <c r="G18" s="1" t="s">
        <v>112</v>
      </c>
      <c r="H18" s="1"/>
      <c r="I18" s="231" t="s">
        <v>25</v>
      </c>
      <c r="K18" s="99" t="s">
        <v>109</v>
      </c>
      <c r="L18">
        <v>6.1</v>
      </c>
    </row>
    <row r="19" spans="1:12" x14ac:dyDescent="0.3">
      <c r="A19" s="1" t="s">
        <v>118</v>
      </c>
      <c r="B19" s="232"/>
      <c r="C19" s="233" t="s">
        <v>97</v>
      </c>
      <c r="D19" s="114">
        <v>117.3</v>
      </c>
      <c r="E19" s="110">
        <v>3.1</v>
      </c>
      <c r="F19" s="230" t="s">
        <v>89</v>
      </c>
      <c r="G19" s="1"/>
      <c r="H19" s="1"/>
      <c r="I19" s="231" t="s">
        <v>25</v>
      </c>
      <c r="K19" s="99" t="s">
        <v>111</v>
      </c>
      <c r="L19">
        <v>1.9</v>
      </c>
    </row>
    <row r="20" spans="1:12" x14ac:dyDescent="0.3">
      <c r="A20" s="1" t="s">
        <v>119</v>
      </c>
      <c r="B20" s="232"/>
      <c r="C20" s="233" t="s">
        <v>113</v>
      </c>
      <c r="D20" s="114">
        <v>113.5</v>
      </c>
      <c r="E20" s="110">
        <v>3.1</v>
      </c>
      <c r="F20" s="230" t="s">
        <v>120</v>
      </c>
      <c r="G20" s="1"/>
      <c r="H20" s="1"/>
      <c r="I20" s="231" t="s">
        <v>25</v>
      </c>
      <c r="K20" s="99" t="s">
        <v>80</v>
      </c>
      <c r="L20">
        <v>8.3000000000000007</v>
      </c>
    </row>
    <row r="21" spans="1:12" ht="15" thickBot="1" x14ac:dyDescent="0.35">
      <c r="A21" s="1" t="s">
        <v>121</v>
      </c>
      <c r="B21" s="232"/>
      <c r="C21" s="233" t="s">
        <v>82</v>
      </c>
      <c r="D21" s="114">
        <v>153.4</v>
      </c>
      <c r="E21" s="110"/>
      <c r="F21" s="230" t="s">
        <v>120</v>
      </c>
      <c r="G21" s="1"/>
      <c r="H21" s="1"/>
      <c r="I21" s="231" t="s">
        <v>25</v>
      </c>
      <c r="K21" s="90" t="s">
        <v>122</v>
      </c>
      <c r="L21">
        <v>686.79999999999984</v>
      </c>
    </row>
    <row r="22" spans="1:12" ht="15.6" thickTop="1" thickBot="1" x14ac:dyDescent="0.35">
      <c r="A22" s="337" t="s">
        <v>123</v>
      </c>
      <c r="B22" s="337"/>
      <c r="C22" s="234"/>
      <c r="D22" s="128">
        <f>SUM(D3:D21)</f>
        <v>686.80000000000007</v>
      </c>
      <c r="E22" s="128"/>
      <c r="F22" s="129"/>
      <c r="G22" s="127"/>
      <c r="H22" s="127"/>
      <c r="I22" s="127"/>
    </row>
    <row r="23" spans="1:12" ht="15" thickTop="1" x14ac:dyDescent="0.3"/>
    <row r="27" spans="1:12" x14ac:dyDescent="0.3">
      <c r="B27" s="235"/>
    </row>
    <row r="28" spans="1:12" x14ac:dyDescent="0.3">
      <c r="B28" s="235"/>
    </row>
    <row r="29" spans="1:12" x14ac:dyDescent="0.3">
      <c r="B29" s="235"/>
    </row>
    <row r="30" spans="1:12" x14ac:dyDescent="0.3">
      <c r="B30" s="235"/>
    </row>
    <row r="31" spans="1:12" x14ac:dyDescent="0.3">
      <c r="B31" s="235"/>
    </row>
    <row r="32" spans="1:12" x14ac:dyDescent="0.3">
      <c r="B32" s="235"/>
    </row>
    <row r="33" spans="2:2" x14ac:dyDescent="0.3">
      <c r="B33" s="235"/>
    </row>
    <row r="34" spans="2:2" x14ac:dyDescent="0.3">
      <c r="B34" s="235"/>
    </row>
    <row r="35" spans="2:2" x14ac:dyDescent="0.3">
      <c r="B35" s="235"/>
    </row>
    <row r="36" spans="2:2" x14ac:dyDescent="0.3">
      <c r="B36" s="235"/>
    </row>
    <row r="37" spans="2:2" x14ac:dyDescent="0.3">
      <c r="B37" s="235"/>
    </row>
    <row r="38" spans="2:2" x14ac:dyDescent="0.3">
      <c r="B38" s="235"/>
    </row>
    <row r="39" spans="2:2" x14ac:dyDescent="0.3">
      <c r="B39" s="235"/>
    </row>
    <row r="40" spans="2:2" x14ac:dyDescent="0.3">
      <c r="B40" s="235"/>
    </row>
    <row r="41" spans="2:2" x14ac:dyDescent="0.3">
      <c r="B41" s="235"/>
    </row>
    <row r="42" spans="2:2" x14ac:dyDescent="0.3">
      <c r="B42" s="235"/>
    </row>
    <row r="43" spans="2:2" x14ac:dyDescent="0.3">
      <c r="B43" s="235"/>
    </row>
    <row r="44" spans="2:2" x14ac:dyDescent="0.3">
      <c r="B44" s="235"/>
    </row>
    <row r="45" spans="2:2" x14ac:dyDescent="0.3">
      <c r="B45" s="235"/>
    </row>
    <row r="46" spans="2:2" x14ac:dyDescent="0.3">
      <c r="B46" s="235"/>
    </row>
    <row r="47" spans="2:2" x14ac:dyDescent="0.3">
      <c r="B47" s="235"/>
    </row>
    <row r="48" spans="2:2" x14ac:dyDescent="0.3">
      <c r="B48" s="235"/>
    </row>
    <row r="49" spans="1:8" x14ac:dyDescent="0.3">
      <c r="B49" s="235"/>
    </row>
    <row r="50" spans="1:8" x14ac:dyDescent="0.3">
      <c r="A50" s="338"/>
      <c r="B50" s="338"/>
      <c r="C50" s="238"/>
      <c r="D50" s="239"/>
      <c r="E50" s="240"/>
      <c r="F50" s="241"/>
      <c r="G50" s="239"/>
      <c r="H50" s="239"/>
    </row>
  </sheetData>
  <mergeCells count="3">
    <mergeCell ref="A1:H1"/>
    <mergeCell ref="A22:B22"/>
    <mergeCell ref="A50:B5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workbookViewId="0">
      <selection activeCell="I2" sqref="I2"/>
    </sheetView>
  </sheetViews>
  <sheetFormatPr defaultRowHeight="14.4" x14ac:dyDescent="0.3"/>
  <cols>
    <col min="1" max="1" width="10.5546875" bestFit="1" customWidth="1"/>
    <col min="2" max="2" width="7.21875" style="99" bestFit="1" customWidth="1"/>
    <col min="3" max="3" width="21" style="235" bestFit="1" customWidth="1"/>
    <col min="4" max="4" width="11.5546875" style="4" bestFit="1" customWidth="1"/>
    <col min="5" max="5" width="10.44140625" style="236" bestFit="1" customWidth="1"/>
    <col min="6" max="6" width="15.21875" style="237" bestFit="1" customWidth="1"/>
    <col min="7" max="7" width="11.44140625" style="4" bestFit="1" customWidth="1"/>
    <col min="8" max="8" width="14.21875" style="4" customWidth="1"/>
    <col min="9" max="9" width="16.21875" customWidth="1"/>
    <col min="11" max="11" width="26.77734375" bestFit="1" customWidth="1"/>
    <col min="12" max="12" width="19.44140625" bestFit="1" customWidth="1"/>
  </cols>
  <sheetData>
    <row r="1" spans="1:13" s="222" customFormat="1" ht="18.600000000000001" thickTop="1" thickBot="1" x14ac:dyDescent="0.35">
      <c r="A1" s="334" t="s">
        <v>124</v>
      </c>
      <c r="B1" s="335"/>
      <c r="C1" s="335"/>
      <c r="D1" s="335"/>
      <c r="E1" s="335"/>
      <c r="F1" s="335"/>
      <c r="G1" s="335"/>
      <c r="H1" s="335"/>
      <c r="I1" s="321"/>
      <c r="J1" s="38"/>
      <c r="K1" s="89" t="s">
        <v>68</v>
      </c>
      <c r="L1" t="s">
        <v>69</v>
      </c>
      <c r="M1"/>
    </row>
    <row r="2" spans="1:13" s="222" customFormat="1" ht="30" thickTop="1" thickBot="1" x14ac:dyDescent="0.35">
      <c r="A2" s="81" t="s">
        <v>70</v>
      </c>
      <c r="B2" s="223" t="s">
        <v>71</v>
      </c>
      <c r="C2" s="81" t="s">
        <v>72</v>
      </c>
      <c r="D2" s="105" t="s">
        <v>73</v>
      </c>
      <c r="E2" s="83" t="s">
        <v>74</v>
      </c>
      <c r="F2" s="81" t="s">
        <v>75</v>
      </c>
      <c r="G2" s="81" t="s">
        <v>76</v>
      </c>
      <c r="H2" s="242" t="s">
        <v>77</v>
      </c>
      <c r="I2" s="243" t="s">
        <v>125</v>
      </c>
      <c r="J2" s="38"/>
      <c r="K2" s="90">
        <v>0</v>
      </c>
      <c r="L2">
        <v>198.99999999999997</v>
      </c>
      <c r="M2"/>
    </row>
    <row r="3" spans="1:13" ht="15" thickTop="1" x14ac:dyDescent="0.3">
      <c r="A3" s="227" t="s">
        <v>126</v>
      </c>
      <c r="B3" s="226"/>
      <c r="C3" s="227" t="s">
        <v>80</v>
      </c>
      <c r="D3" s="228">
        <v>4</v>
      </c>
      <c r="E3" s="244">
        <v>3</v>
      </c>
      <c r="F3" s="230" t="s">
        <v>81</v>
      </c>
      <c r="G3" s="108"/>
      <c r="H3" s="245"/>
      <c r="I3" s="231" t="s">
        <v>127</v>
      </c>
      <c r="K3" s="99" t="s">
        <v>128</v>
      </c>
      <c r="L3">
        <v>29.9</v>
      </c>
    </row>
    <row r="4" spans="1:13" x14ac:dyDescent="0.3">
      <c r="A4" s="233" t="s">
        <v>129</v>
      </c>
      <c r="B4" s="232"/>
      <c r="C4" s="233" t="s">
        <v>130</v>
      </c>
      <c r="D4" s="114">
        <v>616.79999999999995</v>
      </c>
      <c r="E4" s="110" t="s">
        <v>131</v>
      </c>
      <c r="F4" s="230" t="s">
        <v>81</v>
      </c>
      <c r="G4" s="1"/>
      <c r="H4" s="246"/>
      <c r="I4" s="231" t="s">
        <v>127</v>
      </c>
      <c r="K4" s="99" t="s">
        <v>132</v>
      </c>
      <c r="L4">
        <v>102.3</v>
      </c>
    </row>
    <row r="5" spans="1:13" x14ac:dyDescent="0.3">
      <c r="A5" s="233" t="s">
        <v>133</v>
      </c>
      <c r="B5" s="232"/>
      <c r="C5" s="233" t="s">
        <v>134</v>
      </c>
      <c r="D5" s="114">
        <v>16.7</v>
      </c>
      <c r="E5" s="110">
        <v>1.48</v>
      </c>
      <c r="F5" s="230" t="s">
        <v>81</v>
      </c>
      <c r="G5" s="1"/>
      <c r="H5" s="246"/>
      <c r="I5" s="231">
        <v>0</v>
      </c>
      <c r="K5" s="99" t="s">
        <v>135</v>
      </c>
      <c r="L5">
        <v>2</v>
      </c>
    </row>
    <row r="6" spans="1:13" x14ac:dyDescent="0.3">
      <c r="A6" s="233" t="s">
        <v>136</v>
      </c>
      <c r="B6" s="232"/>
      <c r="C6" s="233" t="s">
        <v>137</v>
      </c>
      <c r="D6" s="114">
        <v>39.799999999999997</v>
      </c>
      <c r="E6" s="110">
        <v>2.8</v>
      </c>
      <c r="F6" s="230" t="s">
        <v>138</v>
      </c>
      <c r="G6" s="1"/>
      <c r="H6" s="246"/>
      <c r="I6" s="231" t="s">
        <v>127</v>
      </c>
      <c r="K6" s="99" t="s">
        <v>139</v>
      </c>
      <c r="L6">
        <v>22.8</v>
      </c>
    </row>
    <row r="7" spans="1:13" x14ac:dyDescent="0.3">
      <c r="A7" s="233" t="s">
        <v>140</v>
      </c>
      <c r="B7" s="232"/>
      <c r="C7" s="233" t="s">
        <v>86</v>
      </c>
      <c r="D7" s="114">
        <v>54.1</v>
      </c>
      <c r="E7" s="110">
        <v>2.8</v>
      </c>
      <c r="F7" s="230" t="s">
        <v>138</v>
      </c>
      <c r="G7" s="1"/>
      <c r="H7" s="246"/>
      <c r="I7" s="231" t="s">
        <v>127</v>
      </c>
      <c r="K7" s="99" t="s">
        <v>141</v>
      </c>
      <c r="L7">
        <v>12.3</v>
      </c>
    </row>
    <row r="8" spans="1:13" x14ac:dyDescent="0.3">
      <c r="A8" s="233" t="s">
        <v>142</v>
      </c>
      <c r="B8" s="232"/>
      <c r="C8" s="233" t="s">
        <v>143</v>
      </c>
      <c r="D8" s="114">
        <v>85.8</v>
      </c>
      <c r="E8" s="110" t="s">
        <v>144</v>
      </c>
      <c r="F8" s="230" t="s">
        <v>145</v>
      </c>
      <c r="G8" s="1"/>
      <c r="H8" s="246"/>
      <c r="I8" s="231" t="s">
        <v>146</v>
      </c>
      <c r="K8" s="99" t="s">
        <v>147</v>
      </c>
      <c r="L8">
        <v>5.2</v>
      </c>
    </row>
    <row r="9" spans="1:13" x14ac:dyDescent="0.3">
      <c r="A9" s="233" t="s">
        <v>148</v>
      </c>
      <c r="B9" s="232"/>
      <c r="C9" s="233" t="s">
        <v>143</v>
      </c>
      <c r="D9" s="114">
        <v>85.8</v>
      </c>
      <c r="E9" s="110" t="s">
        <v>144</v>
      </c>
      <c r="F9" s="230" t="s">
        <v>145</v>
      </c>
      <c r="G9" s="1"/>
      <c r="H9" s="246"/>
      <c r="I9" s="231" t="s">
        <v>146</v>
      </c>
      <c r="K9" s="99" t="s">
        <v>149</v>
      </c>
      <c r="L9">
        <v>6.2</v>
      </c>
    </row>
    <row r="10" spans="1:13" x14ac:dyDescent="0.3">
      <c r="A10" s="233" t="s">
        <v>150</v>
      </c>
      <c r="B10" s="232"/>
      <c r="C10" s="233" t="s">
        <v>151</v>
      </c>
      <c r="D10" s="114">
        <v>21.4</v>
      </c>
      <c r="E10" s="110"/>
      <c r="F10" s="230" t="s">
        <v>81</v>
      </c>
      <c r="G10" s="1"/>
      <c r="H10" s="246"/>
      <c r="I10" s="231" t="s">
        <v>152</v>
      </c>
      <c r="K10" s="99" t="s">
        <v>95</v>
      </c>
      <c r="L10">
        <v>1.6</v>
      </c>
    </row>
    <row r="11" spans="1:13" x14ac:dyDescent="0.3">
      <c r="A11" s="233" t="s">
        <v>153</v>
      </c>
      <c r="B11" s="232"/>
      <c r="C11" s="233" t="s">
        <v>139</v>
      </c>
      <c r="D11" s="114">
        <v>22.8</v>
      </c>
      <c r="E11" s="110">
        <v>2.5499999999999998</v>
      </c>
      <c r="F11" s="230" t="s">
        <v>81</v>
      </c>
      <c r="G11" s="1" t="s">
        <v>154</v>
      </c>
      <c r="H11" s="246" t="s">
        <v>155</v>
      </c>
      <c r="I11" s="231">
        <v>0</v>
      </c>
      <c r="K11" s="99" t="s">
        <v>134</v>
      </c>
      <c r="L11">
        <v>16.7</v>
      </c>
    </row>
    <row r="12" spans="1:13" x14ac:dyDescent="0.3">
      <c r="A12" s="233" t="s">
        <v>156</v>
      </c>
      <c r="B12" s="232"/>
      <c r="C12" s="233" t="s">
        <v>141</v>
      </c>
      <c r="D12" s="114">
        <v>12.3</v>
      </c>
      <c r="E12" s="110">
        <v>2.5499999999999998</v>
      </c>
      <c r="F12" s="230" t="s">
        <v>89</v>
      </c>
      <c r="G12" s="1"/>
      <c r="H12" s="246"/>
      <c r="I12" s="231">
        <v>0</v>
      </c>
      <c r="K12" s="90">
        <v>3</v>
      </c>
      <c r="L12">
        <v>747.49999999999989</v>
      </c>
    </row>
    <row r="13" spans="1:13" x14ac:dyDescent="0.3">
      <c r="A13" s="233" t="s">
        <v>157</v>
      </c>
      <c r="B13" s="232"/>
      <c r="C13" s="233" t="s">
        <v>147</v>
      </c>
      <c r="D13" s="114">
        <v>5.2</v>
      </c>
      <c r="E13" s="110">
        <v>2.5499999999999998</v>
      </c>
      <c r="F13" s="230" t="s">
        <v>89</v>
      </c>
      <c r="G13" s="1"/>
      <c r="H13" s="246"/>
      <c r="I13" s="231">
        <v>0</v>
      </c>
      <c r="K13" s="99" t="s">
        <v>130</v>
      </c>
      <c r="L13">
        <v>616.79999999999995</v>
      </c>
    </row>
    <row r="14" spans="1:13" x14ac:dyDescent="0.3">
      <c r="A14" s="233" t="s">
        <v>158</v>
      </c>
      <c r="B14" s="232"/>
      <c r="C14" s="233" t="s">
        <v>135</v>
      </c>
      <c r="D14" s="114">
        <v>2</v>
      </c>
      <c r="E14" s="110">
        <v>2.5499999999999998</v>
      </c>
      <c r="F14" s="230" t="s">
        <v>89</v>
      </c>
      <c r="G14" s="1" t="s">
        <v>90</v>
      </c>
      <c r="H14" s="246"/>
      <c r="I14" s="231">
        <v>0</v>
      </c>
      <c r="K14" s="99" t="s">
        <v>137</v>
      </c>
      <c r="L14">
        <v>39.799999999999997</v>
      </c>
    </row>
    <row r="15" spans="1:13" x14ac:dyDescent="0.3">
      <c r="A15" s="233" t="s">
        <v>159</v>
      </c>
      <c r="B15" s="232"/>
      <c r="C15" s="233" t="s">
        <v>132</v>
      </c>
      <c r="D15" s="114">
        <v>102.3</v>
      </c>
      <c r="E15" s="110">
        <v>3</v>
      </c>
      <c r="F15" s="230"/>
      <c r="G15" s="1"/>
      <c r="H15" s="246"/>
      <c r="I15" s="231">
        <v>0</v>
      </c>
      <c r="K15" s="99" t="s">
        <v>86</v>
      </c>
      <c r="L15">
        <v>54.1</v>
      </c>
    </row>
    <row r="16" spans="1:13" x14ac:dyDescent="0.3">
      <c r="A16" s="233" t="s">
        <v>160</v>
      </c>
      <c r="B16" s="232"/>
      <c r="C16" s="233" t="s">
        <v>161</v>
      </c>
      <c r="D16" s="114">
        <v>32.799999999999997</v>
      </c>
      <c r="E16" s="110">
        <v>5.57</v>
      </c>
      <c r="F16" s="230" t="s">
        <v>138</v>
      </c>
      <c r="G16" s="1"/>
      <c r="H16" s="246"/>
      <c r="I16" s="231" t="s">
        <v>127</v>
      </c>
      <c r="K16" s="99" t="s">
        <v>161</v>
      </c>
      <c r="L16">
        <v>32.799999999999997</v>
      </c>
    </row>
    <row r="17" spans="1:12" x14ac:dyDescent="0.3">
      <c r="A17" s="233" t="s">
        <v>162</v>
      </c>
      <c r="B17" s="232"/>
      <c r="C17" s="233" t="s">
        <v>149</v>
      </c>
      <c r="D17" s="114">
        <v>6.2</v>
      </c>
      <c r="E17" s="110">
        <v>2.54</v>
      </c>
      <c r="F17" s="230" t="s">
        <v>89</v>
      </c>
      <c r="G17" s="1"/>
      <c r="H17" s="246"/>
      <c r="I17" s="231" t="s">
        <v>146</v>
      </c>
      <c r="K17" s="99" t="s">
        <v>80</v>
      </c>
      <c r="L17">
        <v>4</v>
      </c>
    </row>
    <row r="18" spans="1:12" x14ac:dyDescent="0.3">
      <c r="A18" s="233" t="s">
        <v>163</v>
      </c>
      <c r="B18" s="232"/>
      <c r="C18" s="233" t="s">
        <v>164</v>
      </c>
      <c r="D18" s="114">
        <v>2</v>
      </c>
      <c r="E18" s="110">
        <v>2.54</v>
      </c>
      <c r="F18" s="230" t="s">
        <v>89</v>
      </c>
      <c r="G18" s="1" t="s">
        <v>90</v>
      </c>
      <c r="H18" s="246"/>
      <c r="I18" s="231" t="s">
        <v>146</v>
      </c>
      <c r="K18" s="90">
        <v>5</v>
      </c>
      <c r="L18">
        <v>199.79999999999998</v>
      </c>
    </row>
    <row r="19" spans="1:12" x14ac:dyDescent="0.3">
      <c r="A19" s="233" t="s">
        <v>165</v>
      </c>
      <c r="B19" s="232"/>
      <c r="C19" s="233" t="s">
        <v>166</v>
      </c>
      <c r="D19" s="114">
        <v>3.8</v>
      </c>
      <c r="E19" s="110">
        <v>2.54</v>
      </c>
      <c r="F19" s="230" t="s">
        <v>89</v>
      </c>
      <c r="G19" s="1"/>
      <c r="H19" s="246"/>
      <c r="I19" s="231" t="s">
        <v>146</v>
      </c>
      <c r="K19" s="99" t="s">
        <v>166</v>
      </c>
      <c r="L19">
        <v>3.8</v>
      </c>
    </row>
    <row r="20" spans="1:12" x14ac:dyDescent="0.3">
      <c r="A20" s="233" t="s">
        <v>167</v>
      </c>
      <c r="B20" s="232"/>
      <c r="C20" s="233" t="s">
        <v>95</v>
      </c>
      <c r="D20" s="114">
        <v>1.6</v>
      </c>
      <c r="E20" s="110">
        <v>2.54</v>
      </c>
      <c r="F20" s="230" t="s">
        <v>89</v>
      </c>
      <c r="G20" s="1" t="s">
        <v>90</v>
      </c>
      <c r="H20" s="246"/>
      <c r="I20" s="231">
        <v>0</v>
      </c>
      <c r="K20" s="99" t="s">
        <v>143</v>
      </c>
      <c r="L20">
        <v>171.6</v>
      </c>
    </row>
    <row r="21" spans="1:12" x14ac:dyDescent="0.3">
      <c r="A21" s="233" t="s">
        <v>168</v>
      </c>
      <c r="B21" s="232"/>
      <c r="C21" s="233" t="s">
        <v>105</v>
      </c>
      <c r="D21" s="114">
        <v>2.6</v>
      </c>
      <c r="E21" s="110">
        <v>2.54</v>
      </c>
      <c r="F21" s="230" t="s">
        <v>89</v>
      </c>
      <c r="G21" s="1" t="s">
        <v>90</v>
      </c>
      <c r="H21" s="246"/>
      <c r="I21" s="231" t="s">
        <v>146</v>
      </c>
      <c r="K21" s="99" t="s">
        <v>105</v>
      </c>
      <c r="L21">
        <v>2.6</v>
      </c>
    </row>
    <row r="22" spans="1:12" x14ac:dyDescent="0.3">
      <c r="A22" s="233" t="s">
        <v>169</v>
      </c>
      <c r="B22" s="232"/>
      <c r="C22" s="233" t="s">
        <v>115</v>
      </c>
      <c r="D22" s="114">
        <v>7</v>
      </c>
      <c r="E22" s="110">
        <v>2.54</v>
      </c>
      <c r="F22" s="230" t="s">
        <v>89</v>
      </c>
      <c r="G22" s="1" t="s">
        <v>90</v>
      </c>
      <c r="H22" s="246"/>
      <c r="I22" s="231" t="s">
        <v>146</v>
      </c>
      <c r="K22" s="99" t="s">
        <v>107</v>
      </c>
      <c r="L22">
        <v>2.6</v>
      </c>
    </row>
    <row r="23" spans="1:12" x14ac:dyDescent="0.3">
      <c r="A23" s="233" t="s">
        <v>170</v>
      </c>
      <c r="B23" s="232"/>
      <c r="C23" s="233" t="s">
        <v>107</v>
      </c>
      <c r="D23" s="114">
        <v>2.6</v>
      </c>
      <c r="E23" s="110">
        <v>2.54</v>
      </c>
      <c r="F23" s="230" t="s">
        <v>89</v>
      </c>
      <c r="G23" s="1" t="s">
        <v>90</v>
      </c>
      <c r="H23" s="246"/>
      <c r="I23" s="231" t="s">
        <v>146</v>
      </c>
      <c r="K23" s="99" t="s">
        <v>164</v>
      </c>
      <c r="L23">
        <v>2</v>
      </c>
    </row>
    <row r="24" spans="1:12" x14ac:dyDescent="0.3">
      <c r="A24" s="233" t="s">
        <v>171</v>
      </c>
      <c r="B24" s="232"/>
      <c r="C24" s="233" t="s">
        <v>109</v>
      </c>
      <c r="D24" s="114">
        <v>10.199999999999999</v>
      </c>
      <c r="E24" s="110">
        <v>2.54</v>
      </c>
      <c r="F24" s="230" t="s">
        <v>89</v>
      </c>
      <c r="G24" s="1" t="s">
        <v>90</v>
      </c>
      <c r="H24" s="246"/>
      <c r="I24" s="231" t="s">
        <v>146</v>
      </c>
      <c r="K24" s="99" t="s">
        <v>115</v>
      </c>
      <c r="L24">
        <v>7</v>
      </c>
    </row>
    <row r="25" spans="1:12" ht="15" thickBot="1" x14ac:dyDescent="0.35">
      <c r="A25" s="233" t="s">
        <v>172</v>
      </c>
      <c r="B25" s="232"/>
      <c r="C25" s="233" t="s">
        <v>128</v>
      </c>
      <c r="D25" s="114">
        <v>29.9</v>
      </c>
      <c r="E25" s="110">
        <v>3</v>
      </c>
      <c r="F25" s="230"/>
      <c r="G25" s="1"/>
      <c r="H25" s="246"/>
      <c r="I25" s="231">
        <v>0</v>
      </c>
      <c r="K25" s="99" t="s">
        <v>109</v>
      </c>
      <c r="L25">
        <v>10.199999999999999</v>
      </c>
    </row>
    <row r="26" spans="1:12" ht="15.6" thickTop="1" thickBot="1" x14ac:dyDescent="0.35">
      <c r="A26" s="337" t="s">
        <v>123</v>
      </c>
      <c r="B26" s="337"/>
      <c r="C26" s="234"/>
      <c r="D26" s="128">
        <f>SUM(D3:D25)</f>
        <v>1167.6999999999996</v>
      </c>
      <c r="E26" s="128"/>
      <c r="F26" s="129"/>
      <c r="G26" s="127"/>
      <c r="H26" s="247"/>
      <c r="I26" s="248"/>
      <c r="K26" s="90" t="s">
        <v>152</v>
      </c>
      <c r="L26">
        <v>21.4</v>
      </c>
    </row>
    <row r="27" spans="1:12" ht="15" thickTop="1" x14ac:dyDescent="0.3">
      <c r="K27" s="99" t="s">
        <v>151</v>
      </c>
      <c r="L27">
        <v>21.4</v>
      </c>
    </row>
    <row r="28" spans="1:12" x14ac:dyDescent="0.3">
      <c r="K28" s="90" t="s">
        <v>122</v>
      </c>
      <c r="L28">
        <v>1167.6999999999998</v>
      </c>
    </row>
    <row r="29" spans="1:12" x14ac:dyDescent="0.3">
      <c r="E29" s="236">
        <f>GETPIVOTDATA("plocha (m2)",'KH 1 np'!$K$1,"užití","foyer-výstavní plocha","četnost úklidu
počet dní v týdnu",3)</f>
        <v>616.79999999999995</v>
      </c>
    </row>
    <row r="34" spans="3:3" x14ac:dyDescent="0.3">
      <c r="C34" s="235" t="s">
        <v>173</v>
      </c>
    </row>
  </sheetData>
  <mergeCells count="2">
    <mergeCell ref="A1:H1"/>
    <mergeCell ref="A26:B2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workbookViewId="0">
      <selection activeCell="J7" sqref="J7"/>
    </sheetView>
  </sheetViews>
  <sheetFormatPr defaultRowHeight="14.4" x14ac:dyDescent="0.3"/>
  <cols>
    <col min="1" max="1" width="10.5546875" bestFit="1" customWidth="1"/>
    <col min="2" max="2" width="7.21875" style="99" bestFit="1" customWidth="1"/>
    <col min="3" max="3" width="21" style="235" bestFit="1" customWidth="1"/>
    <col min="4" max="4" width="11.5546875" style="4" bestFit="1" customWidth="1"/>
    <col min="5" max="5" width="10.44140625" style="236" bestFit="1" customWidth="1"/>
    <col min="6" max="6" width="15.21875" style="237" bestFit="1" customWidth="1"/>
    <col min="7" max="7" width="11.44140625" style="4" bestFit="1" customWidth="1"/>
    <col min="8" max="8" width="14.21875" style="4" customWidth="1"/>
    <col min="9" max="9" width="16.21875" customWidth="1"/>
    <col min="11" max="11" width="22.77734375" bestFit="1" customWidth="1"/>
    <col min="12" max="12" width="19.44140625" bestFit="1" customWidth="1"/>
    <col min="13" max="13" width="36.44140625" bestFit="1" customWidth="1"/>
    <col min="14" max="14" width="10.21875" bestFit="1" customWidth="1"/>
    <col min="15" max="15" width="11.21875" bestFit="1" customWidth="1"/>
    <col min="16" max="16" width="14.44140625" bestFit="1" customWidth="1"/>
  </cols>
  <sheetData>
    <row r="1" spans="1:13" s="222" customFormat="1" ht="18.600000000000001" thickTop="1" thickBot="1" x14ac:dyDescent="0.35">
      <c r="A1" s="334" t="s">
        <v>174</v>
      </c>
      <c r="B1" s="339"/>
      <c r="C1" s="339"/>
      <c r="D1" s="339"/>
      <c r="E1" s="339"/>
      <c r="F1" s="339"/>
      <c r="G1" s="339"/>
      <c r="H1" s="339"/>
      <c r="I1" s="340"/>
      <c r="J1" s="38"/>
      <c r="K1"/>
      <c r="L1"/>
      <c r="M1"/>
    </row>
    <row r="2" spans="1:13" s="222" customFormat="1" ht="15.6" thickTop="1" thickBot="1" x14ac:dyDescent="0.35">
      <c r="A2" s="335"/>
      <c r="B2" s="335"/>
      <c r="C2" s="335"/>
      <c r="D2" s="335"/>
      <c r="E2" s="335"/>
      <c r="F2" s="335"/>
      <c r="G2" s="335"/>
      <c r="H2" s="336"/>
      <c r="I2" s="321"/>
      <c r="J2" s="38"/>
      <c r="K2"/>
      <c r="L2"/>
      <c r="M2"/>
    </row>
    <row r="3" spans="1:13" ht="30" thickTop="1" thickBot="1" x14ac:dyDescent="0.35">
      <c r="A3" s="81" t="s">
        <v>70</v>
      </c>
      <c r="B3" s="223" t="s">
        <v>71</v>
      </c>
      <c r="C3" s="81" t="s">
        <v>72</v>
      </c>
      <c r="D3" s="105" t="s">
        <v>73</v>
      </c>
      <c r="E3" s="83" t="s">
        <v>74</v>
      </c>
      <c r="F3" s="81" t="s">
        <v>75</v>
      </c>
      <c r="G3" s="81" t="s">
        <v>76</v>
      </c>
      <c r="H3" s="85" t="s">
        <v>77</v>
      </c>
      <c r="I3" s="243" t="s">
        <v>125</v>
      </c>
      <c r="K3" s="89" t="s">
        <v>68</v>
      </c>
      <c r="L3" t="s">
        <v>69</v>
      </c>
    </row>
    <row r="4" spans="1:13" ht="15" thickTop="1" x14ac:dyDescent="0.3">
      <c r="A4" s="250" t="s">
        <v>175</v>
      </c>
      <c r="B4" s="250"/>
      <c r="C4" s="108" t="s">
        <v>93</v>
      </c>
      <c r="D4" s="109">
        <v>12</v>
      </c>
      <c r="E4" s="229">
        <v>3.29</v>
      </c>
      <c r="F4" s="108" t="s">
        <v>89</v>
      </c>
      <c r="G4" s="108"/>
      <c r="H4" s="108"/>
      <c r="I4" s="231" t="s">
        <v>25</v>
      </c>
      <c r="K4" s="90" t="s">
        <v>127</v>
      </c>
      <c r="L4" s="322">
        <v>63.6</v>
      </c>
    </row>
    <row r="5" spans="1:13" x14ac:dyDescent="0.3">
      <c r="A5" s="232" t="s">
        <v>177</v>
      </c>
      <c r="B5" s="232"/>
      <c r="C5" s="1" t="s">
        <v>176</v>
      </c>
      <c r="D5" s="114">
        <v>8.6</v>
      </c>
      <c r="E5" s="110">
        <v>3.28</v>
      </c>
      <c r="F5" s="1" t="s">
        <v>89</v>
      </c>
      <c r="G5" s="1" t="s">
        <v>178</v>
      </c>
      <c r="H5" s="1"/>
      <c r="I5" s="231" t="s">
        <v>25</v>
      </c>
      <c r="K5" s="99" t="s">
        <v>181</v>
      </c>
      <c r="L5" s="322">
        <v>11</v>
      </c>
    </row>
    <row r="6" spans="1:13" x14ac:dyDescent="0.3">
      <c r="A6" s="232" t="s">
        <v>180</v>
      </c>
      <c r="B6" s="232"/>
      <c r="C6" s="1" t="s">
        <v>179</v>
      </c>
      <c r="D6" s="114">
        <v>34</v>
      </c>
      <c r="E6" s="110">
        <v>3.19</v>
      </c>
      <c r="F6" s="1" t="s">
        <v>145</v>
      </c>
      <c r="G6" s="1"/>
      <c r="H6" s="1"/>
      <c r="I6" s="224" t="s">
        <v>146</v>
      </c>
      <c r="K6" s="99" t="s">
        <v>183</v>
      </c>
      <c r="L6" s="322">
        <v>52.6</v>
      </c>
    </row>
    <row r="7" spans="1:13" x14ac:dyDescent="0.3">
      <c r="A7" s="232" t="s">
        <v>182</v>
      </c>
      <c r="B7" s="232"/>
      <c r="C7" s="1" t="s">
        <v>181</v>
      </c>
      <c r="D7" s="114">
        <v>10.6</v>
      </c>
      <c r="E7" s="110">
        <v>3.22</v>
      </c>
      <c r="F7" s="1" t="s">
        <v>145</v>
      </c>
      <c r="G7" s="1"/>
      <c r="H7" s="1"/>
      <c r="I7" s="224" t="s">
        <v>146</v>
      </c>
      <c r="K7" s="90" t="s">
        <v>146</v>
      </c>
      <c r="L7" s="322">
        <v>984.85000000000014</v>
      </c>
    </row>
    <row r="8" spans="1:13" x14ac:dyDescent="0.3">
      <c r="A8" s="232" t="s">
        <v>184</v>
      </c>
      <c r="B8" s="232" t="s">
        <v>185</v>
      </c>
      <c r="C8" s="1" t="s">
        <v>93</v>
      </c>
      <c r="D8" s="114">
        <v>23.7</v>
      </c>
      <c r="E8" s="110">
        <v>3.24</v>
      </c>
      <c r="F8" s="1" t="s">
        <v>120</v>
      </c>
      <c r="G8" s="1"/>
      <c r="H8" s="1"/>
      <c r="I8" s="231" t="s">
        <v>25</v>
      </c>
      <c r="K8" s="99" t="s">
        <v>86</v>
      </c>
      <c r="L8" s="322">
        <v>286.5</v>
      </c>
    </row>
    <row r="9" spans="1:13" x14ac:dyDescent="0.3">
      <c r="A9" s="232" t="s">
        <v>187</v>
      </c>
      <c r="B9" s="232"/>
      <c r="C9" s="1" t="s">
        <v>183</v>
      </c>
      <c r="D9" s="114">
        <v>46.3</v>
      </c>
      <c r="E9" s="110">
        <v>3.24</v>
      </c>
      <c r="F9" s="1" t="s">
        <v>145</v>
      </c>
      <c r="G9" s="1"/>
      <c r="H9" s="1"/>
      <c r="I9" s="224" t="s">
        <v>146</v>
      </c>
      <c r="K9" s="99" t="s">
        <v>179</v>
      </c>
      <c r="L9" s="322">
        <v>34</v>
      </c>
    </row>
    <row r="10" spans="1:13" x14ac:dyDescent="0.3">
      <c r="A10" s="232" t="s">
        <v>188</v>
      </c>
      <c r="B10" s="232"/>
      <c r="C10" s="1" t="s">
        <v>93</v>
      </c>
      <c r="D10" s="114">
        <v>35.9</v>
      </c>
      <c r="E10" s="110">
        <v>3.31</v>
      </c>
      <c r="F10" s="1" t="s">
        <v>120</v>
      </c>
      <c r="G10" s="1"/>
      <c r="H10" s="1"/>
      <c r="I10" s="231" t="s">
        <v>25</v>
      </c>
      <c r="K10" s="99" t="s">
        <v>181</v>
      </c>
      <c r="L10" s="322">
        <v>22.299999999999997</v>
      </c>
    </row>
    <row r="11" spans="1:13" x14ac:dyDescent="0.3">
      <c r="A11" s="232" t="s">
        <v>190</v>
      </c>
      <c r="B11" s="232"/>
      <c r="C11" s="1" t="s">
        <v>183</v>
      </c>
      <c r="D11" s="114">
        <v>36</v>
      </c>
      <c r="E11" s="110">
        <v>3.33</v>
      </c>
      <c r="F11" s="1" t="s">
        <v>89</v>
      </c>
      <c r="G11" s="1"/>
      <c r="H11" s="1"/>
      <c r="I11" s="231" t="s">
        <v>127</v>
      </c>
      <c r="K11" s="99" t="s">
        <v>183</v>
      </c>
      <c r="L11" s="322">
        <v>399.70000000000005</v>
      </c>
    </row>
    <row r="12" spans="1:13" x14ac:dyDescent="0.3">
      <c r="A12" s="232" t="s">
        <v>192</v>
      </c>
      <c r="B12" s="232"/>
      <c r="C12" s="1" t="s">
        <v>191</v>
      </c>
      <c r="D12" s="114">
        <v>46.3</v>
      </c>
      <c r="E12" s="110">
        <v>3.33</v>
      </c>
      <c r="F12" s="1" t="s">
        <v>193</v>
      </c>
      <c r="G12" s="1"/>
      <c r="H12" s="1"/>
      <c r="I12" s="224" t="s">
        <v>146</v>
      </c>
      <c r="K12" s="99" t="s">
        <v>191</v>
      </c>
      <c r="L12" s="322">
        <v>136.19999999999999</v>
      </c>
    </row>
    <row r="13" spans="1:13" x14ac:dyDescent="0.3">
      <c r="A13" s="232" t="s">
        <v>195</v>
      </c>
      <c r="B13" s="232"/>
      <c r="C13" s="1" t="s">
        <v>186</v>
      </c>
      <c r="D13" s="114">
        <v>42.8</v>
      </c>
      <c r="E13" s="110">
        <v>3.28</v>
      </c>
      <c r="F13" s="1" t="s">
        <v>120</v>
      </c>
      <c r="G13" s="1"/>
      <c r="H13" s="1"/>
      <c r="I13" s="231" t="s">
        <v>25</v>
      </c>
      <c r="K13" s="99" t="s">
        <v>196</v>
      </c>
      <c r="L13" s="322">
        <v>88.95</v>
      </c>
    </row>
    <row r="14" spans="1:13" x14ac:dyDescent="0.3">
      <c r="A14" s="232" t="s">
        <v>197</v>
      </c>
      <c r="B14" s="232"/>
      <c r="C14" s="1" t="s">
        <v>91</v>
      </c>
      <c r="D14" s="114">
        <v>46.5</v>
      </c>
      <c r="E14" s="110">
        <v>3.28</v>
      </c>
      <c r="F14" s="1" t="s">
        <v>120</v>
      </c>
      <c r="G14" s="1"/>
      <c r="H14" s="1"/>
      <c r="I14" s="231" t="s">
        <v>25</v>
      </c>
      <c r="K14" s="99" t="s">
        <v>215</v>
      </c>
      <c r="L14" s="322">
        <v>17.2</v>
      </c>
    </row>
    <row r="15" spans="1:13" x14ac:dyDescent="0.3">
      <c r="A15" s="232" t="s">
        <v>199</v>
      </c>
      <c r="B15" s="232"/>
      <c r="C15" s="1" t="s">
        <v>93</v>
      </c>
      <c r="D15" s="114">
        <v>5.4</v>
      </c>
      <c r="E15" s="110" t="s">
        <v>200</v>
      </c>
      <c r="F15" s="1" t="s">
        <v>89</v>
      </c>
      <c r="G15" s="1"/>
      <c r="H15" s="1"/>
      <c r="I15" s="231" t="s">
        <v>25</v>
      </c>
      <c r="K15" s="90" t="s">
        <v>25</v>
      </c>
      <c r="L15" s="322">
        <v>323.69999999999993</v>
      </c>
    </row>
    <row r="16" spans="1:13" x14ac:dyDescent="0.3">
      <c r="A16" s="232" t="s">
        <v>202</v>
      </c>
      <c r="B16" s="232"/>
      <c r="C16" s="1" t="s">
        <v>86</v>
      </c>
      <c r="D16" s="114">
        <v>94.5</v>
      </c>
      <c r="E16" s="110" t="s">
        <v>203</v>
      </c>
      <c r="F16" s="1" t="s">
        <v>89</v>
      </c>
      <c r="G16" s="1"/>
      <c r="H16" s="1"/>
      <c r="I16" s="224" t="s">
        <v>146</v>
      </c>
      <c r="K16" s="99" t="s">
        <v>93</v>
      </c>
      <c r="L16" s="322">
        <v>100.5</v>
      </c>
    </row>
    <row r="17" spans="1:12" x14ac:dyDescent="0.3">
      <c r="A17" s="232" t="s">
        <v>204</v>
      </c>
      <c r="B17" s="232"/>
      <c r="C17" s="1" t="s">
        <v>189</v>
      </c>
      <c r="D17" s="114">
        <v>13.5</v>
      </c>
      <c r="E17" s="110">
        <v>3.33</v>
      </c>
      <c r="F17" s="1" t="s">
        <v>89</v>
      </c>
      <c r="G17" s="1"/>
      <c r="H17" s="1"/>
      <c r="I17" s="231" t="s">
        <v>25</v>
      </c>
      <c r="K17" s="99" t="s">
        <v>176</v>
      </c>
      <c r="L17" s="322">
        <v>26.099999999999998</v>
      </c>
    </row>
    <row r="18" spans="1:12" x14ac:dyDescent="0.3">
      <c r="A18" s="232" t="s">
        <v>206</v>
      </c>
      <c r="B18" s="232" t="s">
        <v>207</v>
      </c>
      <c r="C18" s="1" t="s">
        <v>191</v>
      </c>
      <c r="D18" s="114">
        <v>43.6</v>
      </c>
      <c r="E18" s="110">
        <v>2.8</v>
      </c>
      <c r="F18" s="1" t="s">
        <v>145</v>
      </c>
      <c r="G18" s="1"/>
      <c r="H18" s="1" t="s">
        <v>208</v>
      </c>
      <c r="I18" s="224" t="s">
        <v>146</v>
      </c>
      <c r="K18" s="99" t="s">
        <v>186</v>
      </c>
      <c r="L18" s="322">
        <v>42.8</v>
      </c>
    </row>
    <row r="19" spans="1:12" x14ac:dyDescent="0.3">
      <c r="A19" s="232" t="s">
        <v>210</v>
      </c>
      <c r="B19" s="232"/>
      <c r="C19" s="1" t="s">
        <v>176</v>
      </c>
      <c r="D19" s="114">
        <v>8.8000000000000007</v>
      </c>
      <c r="E19" s="110">
        <v>3.35</v>
      </c>
      <c r="F19" s="1" t="s">
        <v>89</v>
      </c>
      <c r="G19" s="1" t="s">
        <v>211</v>
      </c>
      <c r="H19" s="1"/>
      <c r="I19" s="231" t="s">
        <v>25</v>
      </c>
      <c r="K19" s="99" t="s">
        <v>91</v>
      </c>
      <c r="L19" s="322">
        <v>46.5</v>
      </c>
    </row>
    <row r="20" spans="1:12" x14ac:dyDescent="0.3">
      <c r="A20" s="232" t="s">
        <v>212</v>
      </c>
      <c r="B20" s="232"/>
      <c r="C20" s="1" t="s">
        <v>194</v>
      </c>
      <c r="D20" s="114">
        <v>2.2999999999999998</v>
      </c>
      <c r="E20" s="110">
        <v>3.34</v>
      </c>
      <c r="F20" s="1" t="s">
        <v>89</v>
      </c>
      <c r="G20" s="1"/>
      <c r="H20" s="1"/>
      <c r="I20" s="231" t="s">
        <v>25</v>
      </c>
      <c r="K20" s="99" t="s">
        <v>189</v>
      </c>
      <c r="L20" s="322">
        <v>13.5</v>
      </c>
    </row>
    <row r="21" spans="1:12" x14ac:dyDescent="0.3">
      <c r="A21" s="232" t="s">
        <v>214</v>
      </c>
      <c r="B21" s="232"/>
      <c r="C21" s="1" t="s">
        <v>176</v>
      </c>
      <c r="D21" s="114">
        <v>8.6999999999999993</v>
      </c>
      <c r="E21" s="110">
        <v>3.35</v>
      </c>
      <c r="F21" s="1" t="s">
        <v>89</v>
      </c>
      <c r="G21" s="1" t="s">
        <v>211</v>
      </c>
      <c r="H21" s="1"/>
      <c r="I21" s="231" t="s">
        <v>25</v>
      </c>
      <c r="K21" s="99" t="s">
        <v>194</v>
      </c>
      <c r="L21" s="322">
        <v>2.2999999999999998</v>
      </c>
    </row>
    <row r="22" spans="1:12" x14ac:dyDescent="0.3">
      <c r="A22" s="232" t="s">
        <v>216</v>
      </c>
      <c r="B22" s="232"/>
      <c r="C22" s="1" t="s">
        <v>196</v>
      </c>
      <c r="D22" s="114">
        <v>22.4</v>
      </c>
      <c r="E22" s="110">
        <v>3.22</v>
      </c>
      <c r="F22" s="1" t="s">
        <v>145</v>
      </c>
      <c r="G22" s="1"/>
      <c r="H22" s="1"/>
      <c r="I22" s="231" t="s">
        <v>25</v>
      </c>
      <c r="K22" s="99" t="s">
        <v>196</v>
      </c>
      <c r="L22" s="322">
        <v>22.4</v>
      </c>
    </row>
    <row r="23" spans="1:12" x14ac:dyDescent="0.3">
      <c r="A23" s="232" t="s">
        <v>217</v>
      </c>
      <c r="B23" s="232"/>
      <c r="C23" s="1" t="s">
        <v>198</v>
      </c>
      <c r="D23" s="114">
        <v>10.8</v>
      </c>
      <c r="E23" s="110">
        <v>3.22</v>
      </c>
      <c r="F23" s="1" t="s">
        <v>89</v>
      </c>
      <c r="G23" s="1" t="s">
        <v>218</v>
      </c>
      <c r="H23" s="1"/>
      <c r="I23" s="231" t="s">
        <v>25</v>
      </c>
      <c r="K23" s="99" t="s">
        <v>198</v>
      </c>
      <c r="L23" s="322">
        <v>10.8</v>
      </c>
    </row>
    <row r="24" spans="1:12" x14ac:dyDescent="0.3">
      <c r="A24" s="232" t="s">
        <v>219</v>
      </c>
      <c r="B24" s="232"/>
      <c r="C24" s="1" t="s">
        <v>196</v>
      </c>
      <c r="D24" s="114">
        <v>12</v>
      </c>
      <c r="E24" s="110">
        <v>3.24</v>
      </c>
      <c r="F24" s="1" t="s">
        <v>145</v>
      </c>
      <c r="G24" s="1"/>
      <c r="H24" s="1"/>
      <c r="I24" s="224" t="s">
        <v>146</v>
      </c>
      <c r="K24" s="99" t="s">
        <v>201</v>
      </c>
      <c r="L24" s="322">
        <v>16.5</v>
      </c>
    </row>
    <row r="25" spans="1:12" x14ac:dyDescent="0.3">
      <c r="A25" s="232" t="s">
        <v>220</v>
      </c>
      <c r="B25" s="232"/>
      <c r="C25" s="1" t="s">
        <v>196</v>
      </c>
      <c r="D25" s="114">
        <v>12</v>
      </c>
      <c r="E25" s="110">
        <v>3.24</v>
      </c>
      <c r="F25" s="1" t="s">
        <v>145</v>
      </c>
      <c r="G25" s="1"/>
      <c r="H25" s="1"/>
      <c r="I25" s="224" t="s">
        <v>146</v>
      </c>
      <c r="K25" s="99" t="s">
        <v>205</v>
      </c>
      <c r="L25" s="322">
        <v>16.7</v>
      </c>
    </row>
    <row r="26" spans="1:12" x14ac:dyDescent="0.3">
      <c r="A26" s="232" t="s">
        <v>221</v>
      </c>
      <c r="B26" s="232"/>
      <c r="C26" s="1" t="s">
        <v>191</v>
      </c>
      <c r="D26" s="114">
        <v>11.3</v>
      </c>
      <c r="E26" s="110">
        <v>3.24</v>
      </c>
      <c r="F26" s="1" t="s">
        <v>145</v>
      </c>
      <c r="G26" s="1"/>
      <c r="H26" s="1"/>
      <c r="I26" s="224" t="s">
        <v>146</v>
      </c>
      <c r="K26" s="99" t="s">
        <v>209</v>
      </c>
      <c r="L26" s="322">
        <v>3.2</v>
      </c>
    </row>
    <row r="27" spans="1:12" x14ac:dyDescent="0.3">
      <c r="A27" s="232" t="s">
        <v>222</v>
      </c>
      <c r="B27" s="232"/>
      <c r="C27" s="1" t="s">
        <v>181</v>
      </c>
      <c r="D27" s="114">
        <v>11</v>
      </c>
      <c r="E27" s="110">
        <v>3.33</v>
      </c>
      <c r="F27" s="1" t="s">
        <v>145</v>
      </c>
      <c r="G27" s="1"/>
      <c r="H27" s="1"/>
      <c r="I27" s="231" t="s">
        <v>127</v>
      </c>
      <c r="K27" s="99" t="s">
        <v>97</v>
      </c>
      <c r="L27" s="322">
        <v>22.4</v>
      </c>
    </row>
    <row r="28" spans="1:12" x14ac:dyDescent="0.3">
      <c r="A28" s="232" t="s">
        <v>223</v>
      </c>
      <c r="B28" s="232"/>
      <c r="C28" s="1" t="s">
        <v>183</v>
      </c>
      <c r="D28" s="114">
        <v>16.600000000000001</v>
      </c>
      <c r="E28" s="110">
        <v>3.26</v>
      </c>
      <c r="F28" s="1" t="s">
        <v>145</v>
      </c>
      <c r="G28" s="1"/>
      <c r="H28" s="1"/>
      <c r="I28" s="231" t="s">
        <v>127</v>
      </c>
      <c r="K28" s="90" t="s">
        <v>152</v>
      </c>
      <c r="L28" s="322">
        <v>83.6</v>
      </c>
    </row>
    <row r="29" spans="1:12" x14ac:dyDescent="0.3">
      <c r="A29" s="232" t="s">
        <v>224</v>
      </c>
      <c r="B29" s="232"/>
      <c r="C29" s="1" t="s">
        <v>201</v>
      </c>
      <c r="D29" s="114">
        <v>16.5</v>
      </c>
      <c r="E29" s="110">
        <v>3.1</v>
      </c>
      <c r="F29" s="1" t="s">
        <v>145</v>
      </c>
      <c r="G29" s="1"/>
      <c r="H29" s="1"/>
      <c r="I29" s="231" t="s">
        <v>25</v>
      </c>
      <c r="K29" s="99" t="s">
        <v>93</v>
      </c>
      <c r="L29" s="322">
        <v>31.7</v>
      </c>
    </row>
    <row r="30" spans="1:12" x14ac:dyDescent="0.3">
      <c r="A30" s="232" t="s">
        <v>225</v>
      </c>
      <c r="B30" s="232"/>
      <c r="C30" s="1" t="s">
        <v>201</v>
      </c>
      <c r="D30" s="114">
        <v>34.6</v>
      </c>
      <c r="E30" s="110">
        <v>3.32</v>
      </c>
      <c r="F30" s="1" t="s">
        <v>145</v>
      </c>
      <c r="G30" s="1"/>
      <c r="H30" s="1"/>
      <c r="I30" s="231" t="s">
        <v>152</v>
      </c>
      <c r="K30" s="99" t="s">
        <v>201</v>
      </c>
      <c r="L30" s="322">
        <v>34.6</v>
      </c>
    </row>
    <row r="31" spans="1:12" x14ac:dyDescent="0.3">
      <c r="A31" s="232" t="s">
        <v>226</v>
      </c>
      <c r="B31" s="232" t="s">
        <v>227</v>
      </c>
      <c r="C31" s="1" t="s">
        <v>205</v>
      </c>
      <c r="D31" s="114">
        <v>16.7</v>
      </c>
      <c r="E31" s="110">
        <v>3.31</v>
      </c>
      <c r="F31" s="1" t="s">
        <v>145</v>
      </c>
      <c r="G31" s="1"/>
      <c r="H31" s="1"/>
      <c r="I31" s="231" t="s">
        <v>25</v>
      </c>
      <c r="K31" s="99" t="s">
        <v>213</v>
      </c>
      <c r="L31" s="322">
        <v>17.3</v>
      </c>
    </row>
    <row r="32" spans="1:12" x14ac:dyDescent="0.3">
      <c r="A32" s="232" t="s">
        <v>228</v>
      </c>
      <c r="B32" s="232" t="s">
        <v>229</v>
      </c>
      <c r="C32" s="1" t="s">
        <v>209</v>
      </c>
      <c r="D32" s="114">
        <v>3.2</v>
      </c>
      <c r="E32" s="110">
        <v>3.32</v>
      </c>
      <c r="F32" s="1" t="s">
        <v>230</v>
      </c>
      <c r="G32" s="1"/>
      <c r="H32" s="1"/>
      <c r="I32" s="224" t="s">
        <v>25</v>
      </c>
      <c r="K32" s="90" t="s">
        <v>122</v>
      </c>
      <c r="L32" s="322">
        <v>1455.7500000000002</v>
      </c>
    </row>
    <row r="33" spans="1:9" x14ac:dyDescent="0.3">
      <c r="A33" s="232" t="s">
        <v>231</v>
      </c>
      <c r="B33" s="232" t="s">
        <v>232</v>
      </c>
      <c r="C33" s="1" t="s">
        <v>93</v>
      </c>
      <c r="D33" s="114">
        <v>13.5</v>
      </c>
      <c r="E33" s="110">
        <v>3.31</v>
      </c>
      <c r="F33" s="1" t="s">
        <v>230</v>
      </c>
      <c r="G33" s="1" t="s">
        <v>233</v>
      </c>
      <c r="H33" s="1"/>
      <c r="I33" s="224" t="s">
        <v>25</v>
      </c>
    </row>
    <row r="34" spans="1:9" x14ac:dyDescent="0.3">
      <c r="A34" s="232" t="s">
        <v>234</v>
      </c>
      <c r="B34" s="232" t="s">
        <v>235</v>
      </c>
      <c r="C34" s="1" t="s">
        <v>183</v>
      </c>
      <c r="D34" s="114">
        <v>73.7</v>
      </c>
      <c r="E34" s="110">
        <v>3.19</v>
      </c>
      <c r="F34" s="1" t="s">
        <v>145</v>
      </c>
      <c r="G34" s="1"/>
      <c r="H34" s="1"/>
      <c r="I34" s="224" t="s">
        <v>146</v>
      </c>
    </row>
    <row r="35" spans="1:9" x14ac:dyDescent="0.3">
      <c r="A35" s="232" t="s">
        <v>236</v>
      </c>
      <c r="B35" s="232" t="s">
        <v>237</v>
      </c>
      <c r="C35" s="1" t="s">
        <v>183</v>
      </c>
      <c r="D35" s="114">
        <v>71.8</v>
      </c>
      <c r="E35" s="110">
        <v>3.23</v>
      </c>
      <c r="F35" s="1" t="s">
        <v>145</v>
      </c>
      <c r="G35" s="1"/>
      <c r="H35" s="1"/>
      <c r="I35" s="224" t="s">
        <v>146</v>
      </c>
    </row>
    <row r="36" spans="1:9" x14ac:dyDescent="0.3">
      <c r="A36" s="232" t="s">
        <v>238</v>
      </c>
      <c r="B36" s="232"/>
      <c r="C36" s="1" t="s">
        <v>93</v>
      </c>
      <c r="D36" s="114">
        <v>5.5</v>
      </c>
      <c r="E36" s="110" t="s">
        <v>239</v>
      </c>
      <c r="F36" s="1" t="s">
        <v>145</v>
      </c>
      <c r="G36" s="1"/>
      <c r="H36" s="1"/>
      <c r="I36" s="231" t="s">
        <v>152</v>
      </c>
    </row>
    <row r="37" spans="1:9" x14ac:dyDescent="0.3">
      <c r="A37" s="232" t="s">
        <v>240</v>
      </c>
      <c r="B37" s="232"/>
      <c r="C37" s="1" t="s">
        <v>93</v>
      </c>
      <c r="D37" s="114">
        <v>6.5</v>
      </c>
      <c r="E37" s="110" t="s">
        <v>239</v>
      </c>
      <c r="F37" s="1" t="s">
        <v>89</v>
      </c>
      <c r="G37" s="1"/>
      <c r="H37" s="1"/>
      <c r="I37" s="231" t="s">
        <v>152</v>
      </c>
    </row>
    <row r="38" spans="1:9" x14ac:dyDescent="0.3">
      <c r="A38" s="232" t="s">
        <v>241</v>
      </c>
      <c r="B38" s="232"/>
      <c r="C38" s="1" t="s">
        <v>86</v>
      </c>
      <c r="D38" s="114">
        <v>13.9</v>
      </c>
      <c r="E38" s="110">
        <v>3.3</v>
      </c>
      <c r="F38" s="1" t="s">
        <v>89</v>
      </c>
      <c r="G38" s="1"/>
      <c r="H38" s="1"/>
      <c r="I38" s="231" t="s">
        <v>146</v>
      </c>
    </row>
    <row r="39" spans="1:9" x14ac:dyDescent="0.3">
      <c r="A39" s="232" t="s">
        <v>242</v>
      </c>
      <c r="B39" s="232"/>
      <c r="C39" s="1" t="s">
        <v>86</v>
      </c>
      <c r="D39" s="114">
        <v>80.900000000000006</v>
      </c>
      <c r="E39" s="110">
        <v>3.3</v>
      </c>
      <c r="F39" s="1" t="s">
        <v>89</v>
      </c>
      <c r="G39" s="1"/>
      <c r="H39" s="1"/>
      <c r="I39" s="224" t="s">
        <v>146</v>
      </c>
    </row>
    <row r="40" spans="1:9" x14ac:dyDescent="0.3">
      <c r="A40" s="232" t="s">
        <v>243</v>
      </c>
      <c r="B40" s="232"/>
      <c r="C40" s="1" t="s">
        <v>86</v>
      </c>
      <c r="D40" s="114">
        <v>6.5</v>
      </c>
      <c r="E40" s="110">
        <v>2.35</v>
      </c>
      <c r="F40" s="1" t="s">
        <v>89</v>
      </c>
      <c r="G40" s="1"/>
      <c r="H40" s="1" t="s">
        <v>208</v>
      </c>
      <c r="I40" s="224" t="s">
        <v>146</v>
      </c>
    </row>
    <row r="41" spans="1:9" x14ac:dyDescent="0.3">
      <c r="A41" s="232" t="s">
        <v>244</v>
      </c>
      <c r="B41" s="232"/>
      <c r="C41" s="1" t="s">
        <v>93</v>
      </c>
      <c r="D41" s="114">
        <v>8.6999999999999993</v>
      </c>
      <c r="E41" s="110">
        <v>3.3</v>
      </c>
      <c r="F41" s="1" t="s">
        <v>89</v>
      </c>
      <c r="G41" s="1" t="s">
        <v>245</v>
      </c>
      <c r="H41" s="1"/>
      <c r="I41" s="231" t="s">
        <v>152</v>
      </c>
    </row>
    <row r="42" spans="1:9" x14ac:dyDescent="0.3">
      <c r="A42" s="232" t="s">
        <v>246</v>
      </c>
      <c r="B42" s="232"/>
      <c r="C42" s="1" t="s">
        <v>93</v>
      </c>
      <c r="D42" s="114">
        <v>2.2999999999999998</v>
      </c>
      <c r="E42" s="110">
        <v>3.3</v>
      </c>
      <c r="F42" s="1" t="s">
        <v>89</v>
      </c>
      <c r="G42" s="1"/>
      <c r="H42" s="1"/>
      <c r="I42" s="231" t="s">
        <v>152</v>
      </c>
    </row>
    <row r="43" spans="1:9" x14ac:dyDescent="0.3">
      <c r="A43" s="232" t="s">
        <v>247</v>
      </c>
      <c r="B43" s="232"/>
      <c r="C43" s="1" t="s">
        <v>93</v>
      </c>
      <c r="D43" s="114">
        <v>8.6999999999999993</v>
      </c>
      <c r="E43" s="110">
        <v>3.3</v>
      </c>
      <c r="F43" s="1" t="s">
        <v>89</v>
      </c>
      <c r="G43" s="1" t="s">
        <v>245</v>
      </c>
      <c r="H43" s="1"/>
      <c r="I43" s="231" t="s">
        <v>152</v>
      </c>
    </row>
    <row r="44" spans="1:9" x14ac:dyDescent="0.3">
      <c r="A44" s="232" t="s">
        <v>248</v>
      </c>
      <c r="B44" s="232"/>
      <c r="C44" s="1" t="s">
        <v>97</v>
      </c>
      <c r="D44" s="114">
        <v>22.4</v>
      </c>
      <c r="E44" s="110">
        <v>3.25</v>
      </c>
      <c r="F44" s="1" t="s">
        <v>120</v>
      </c>
      <c r="G44" s="1"/>
      <c r="H44" s="1"/>
      <c r="I44" s="231" t="s">
        <v>25</v>
      </c>
    </row>
    <row r="45" spans="1:9" x14ac:dyDescent="0.3">
      <c r="A45" s="232" t="s">
        <v>249</v>
      </c>
      <c r="B45" s="232"/>
      <c r="C45" s="1" t="s">
        <v>181</v>
      </c>
      <c r="D45" s="114">
        <v>11.7</v>
      </c>
      <c r="E45" s="110">
        <v>3.27</v>
      </c>
      <c r="F45" s="1" t="s">
        <v>145</v>
      </c>
      <c r="G45" s="1"/>
      <c r="H45" s="1"/>
      <c r="I45" s="224" t="s">
        <v>146</v>
      </c>
    </row>
    <row r="46" spans="1:9" x14ac:dyDescent="0.3">
      <c r="A46" s="232" t="s">
        <v>250</v>
      </c>
      <c r="B46" s="232"/>
      <c r="C46" s="1" t="s">
        <v>183</v>
      </c>
      <c r="D46" s="114">
        <v>11.7</v>
      </c>
      <c r="E46" s="110">
        <v>3.32</v>
      </c>
      <c r="F46" s="1" t="s">
        <v>120</v>
      </c>
      <c r="G46" s="1"/>
      <c r="H46" s="1"/>
      <c r="I46" s="224" t="s">
        <v>146</v>
      </c>
    </row>
    <row r="47" spans="1:9" x14ac:dyDescent="0.3">
      <c r="A47" s="232" t="s">
        <v>251</v>
      </c>
      <c r="B47" s="232" t="s">
        <v>252</v>
      </c>
      <c r="C47" s="1" t="s">
        <v>183</v>
      </c>
      <c r="D47" s="114">
        <v>11.6</v>
      </c>
      <c r="E47" s="110">
        <v>3.33</v>
      </c>
      <c r="F47" s="1" t="s">
        <v>145</v>
      </c>
      <c r="G47" s="1"/>
      <c r="H47" s="1"/>
      <c r="I47" s="224" t="s">
        <v>146</v>
      </c>
    </row>
    <row r="48" spans="1:9" x14ac:dyDescent="0.3">
      <c r="A48" s="232" t="s">
        <v>253</v>
      </c>
      <c r="B48" s="232" t="s">
        <v>254</v>
      </c>
      <c r="C48" s="1" t="s">
        <v>196</v>
      </c>
      <c r="D48" s="114">
        <v>10.9</v>
      </c>
      <c r="E48" s="110">
        <v>3.34</v>
      </c>
      <c r="F48" s="1" t="s">
        <v>145</v>
      </c>
      <c r="G48" s="1"/>
      <c r="H48" s="1"/>
      <c r="I48" s="224" t="s">
        <v>146</v>
      </c>
    </row>
    <row r="49" spans="1:9" x14ac:dyDescent="0.3">
      <c r="A49" s="232" t="s">
        <v>255</v>
      </c>
      <c r="B49" s="232" t="s">
        <v>256</v>
      </c>
      <c r="C49" s="1" t="s">
        <v>183</v>
      </c>
      <c r="D49" s="114">
        <v>23.1</v>
      </c>
      <c r="E49" s="110">
        <v>3.34</v>
      </c>
      <c r="F49" s="1" t="s">
        <v>145</v>
      </c>
      <c r="G49" s="1"/>
      <c r="H49" s="1"/>
      <c r="I49" s="224" t="s">
        <v>146</v>
      </c>
    </row>
    <row r="50" spans="1:9" x14ac:dyDescent="0.3">
      <c r="A50" s="232" t="s">
        <v>257</v>
      </c>
      <c r="B50" s="232" t="s">
        <v>258</v>
      </c>
      <c r="C50" s="1" t="s">
        <v>196</v>
      </c>
      <c r="D50" s="114">
        <v>38.15</v>
      </c>
      <c r="E50" s="110" t="s">
        <v>259</v>
      </c>
      <c r="F50" s="1" t="s">
        <v>145</v>
      </c>
      <c r="G50" s="1"/>
      <c r="H50" s="1"/>
      <c r="I50" s="224" t="s">
        <v>146</v>
      </c>
    </row>
    <row r="51" spans="1:9" x14ac:dyDescent="0.3">
      <c r="A51" s="232" t="s">
        <v>260</v>
      </c>
      <c r="B51" s="232" t="s">
        <v>261</v>
      </c>
      <c r="C51" s="1" t="s">
        <v>196</v>
      </c>
      <c r="D51" s="114">
        <v>15.9</v>
      </c>
      <c r="E51" s="110">
        <v>3.2</v>
      </c>
      <c r="F51" s="1" t="s">
        <v>145</v>
      </c>
      <c r="G51" s="1"/>
      <c r="H51" s="1"/>
      <c r="I51" s="224" t="s">
        <v>146</v>
      </c>
    </row>
    <row r="52" spans="1:9" x14ac:dyDescent="0.3">
      <c r="A52" s="232" t="s">
        <v>262</v>
      </c>
      <c r="B52" s="232" t="s">
        <v>263</v>
      </c>
      <c r="C52" s="1" t="s">
        <v>191</v>
      </c>
      <c r="D52" s="114">
        <v>35</v>
      </c>
      <c r="E52" s="110">
        <v>3.32</v>
      </c>
      <c r="F52" s="1" t="s">
        <v>145</v>
      </c>
      <c r="G52" s="1"/>
      <c r="H52" s="1"/>
      <c r="I52" s="224" t="s">
        <v>146</v>
      </c>
    </row>
    <row r="53" spans="1:9" x14ac:dyDescent="0.3">
      <c r="A53" s="232" t="s">
        <v>264</v>
      </c>
      <c r="B53" s="232"/>
      <c r="C53" s="1" t="s">
        <v>183</v>
      </c>
      <c r="D53" s="114">
        <v>17.399999999999999</v>
      </c>
      <c r="E53" s="110">
        <v>3.2</v>
      </c>
      <c r="F53" s="1" t="s">
        <v>145</v>
      </c>
      <c r="G53" s="1"/>
      <c r="H53" s="1"/>
      <c r="I53" s="224" t="s">
        <v>146</v>
      </c>
    </row>
    <row r="54" spans="1:9" x14ac:dyDescent="0.3">
      <c r="A54" s="232" t="s">
        <v>265</v>
      </c>
      <c r="B54" s="232"/>
      <c r="C54" s="1" t="s">
        <v>213</v>
      </c>
      <c r="D54" s="114">
        <v>17.3</v>
      </c>
      <c r="E54" s="110"/>
      <c r="F54" s="1"/>
      <c r="G54" s="1"/>
      <c r="H54" s="1"/>
      <c r="I54" s="231" t="s">
        <v>152</v>
      </c>
    </row>
    <row r="55" spans="1:9" x14ac:dyDescent="0.3">
      <c r="A55" s="232" t="s">
        <v>266</v>
      </c>
      <c r="B55" s="232" t="s">
        <v>267</v>
      </c>
      <c r="C55" s="1" t="s">
        <v>183</v>
      </c>
      <c r="D55" s="114">
        <v>37</v>
      </c>
      <c r="E55" s="110">
        <v>3.28</v>
      </c>
      <c r="F55" s="1" t="s">
        <v>145</v>
      </c>
      <c r="G55" s="1" t="s">
        <v>268</v>
      </c>
      <c r="H55" s="1"/>
      <c r="I55" s="224" t="s">
        <v>146</v>
      </c>
    </row>
    <row r="56" spans="1:9" x14ac:dyDescent="0.3">
      <c r="A56" s="232" t="s">
        <v>269</v>
      </c>
      <c r="B56" s="232" t="s">
        <v>270</v>
      </c>
      <c r="C56" s="1" t="s">
        <v>183</v>
      </c>
      <c r="D56" s="114">
        <v>71.8</v>
      </c>
      <c r="E56" s="110">
        <v>3.29</v>
      </c>
      <c r="F56" s="1" t="s">
        <v>89</v>
      </c>
      <c r="G56" s="1"/>
      <c r="H56" s="1"/>
      <c r="I56" s="224" t="s">
        <v>146</v>
      </c>
    </row>
    <row r="57" spans="1:9" x14ac:dyDescent="0.3">
      <c r="A57" s="232" t="s">
        <v>271</v>
      </c>
      <c r="B57" s="232"/>
      <c r="C57" s="1" t="s">
        <v>215</v>
      </c>
      <c r="D57" s="114">
        <v>17.2</v>
      </c>
      <c r="E57" s="110">
        <v>3.3</v>
      </c>
      <c r="F57" s="1" t="s">
        <v>145</v>
      </c>
      <c r="G57" s="1" t="s">
        <v>272</v>
      </c>
      <c r="H57" s="1"/>
      <c r="I57" s="224" t="s">
        <v>146</v>
      </c>
    </row>
    <row r="58" spans="1:9" x14ac:dyDescent="0.3">
      <c r="A58" s="232" t="s">
        <v>273</v>
      </c>
      <c r="B58" s="232" t="s">
        <v>274</v>
      </c>
      <c r="C58" s="1" t="s">
        <v>183</v>
      </c>
      <c r="D58" s="114">
        <v>35.299999999999997</v>
      </c>
      <c r="E58" s="110">
        <v>3.28</v>
      </c>
      <c r="F58" s="1" t="s">
        <v>275</v>
      </c>
      <c r="G58" s="1" t="s">
        <v>276</v>
      </c>
      <c r="H58" s="1"/>
      <c r="I58" s="224" t="s">
        <v>146</v>
      </c>
    </row>
    <row r="59" spans="1:9" x14ac:dyDescent="0.3">
      <c r="A59" s="232" t="s">
        <v>277</v>
      </c>
      <c r="B59" s="232"/>
      <c r="C59" s="1" t="s">
        <v>93</v>
      </c>
      <c r="D59" s="114">
        <v>4.5999999999999996</v>
      </c>
      <c r="E59" s="110">
        <v>3.3</v>
      </c>
      <c r="F59" s="1" t="s">
        <v>89</v>
      </c>
      <c r="G59" s="1"/>
      <c r="H59" s="1"/>
      <c r="I59" s="231" t="s">
        <v>25</v>
      </c>
    </row>
    <row r="60" spans="1:9" x14ac:dyDescent="0.3">
      <c r="A60" s="232" t="s">
        <v>278</v>
      </c>
      <c r="B60" s="232"/>
      <c r="C60" s="1" t="s">
        <v>93</v>
      </c>
      <c r="D60" s="114">
        <v>5.4</v>
      </c>
      <c r="E60" s="110" t="s">
        <v>239</v>
      </c>
      <c r="F60" s="1" t="s">
        <v>145</v>
      </c>
      <c r="G60" s="1"/>
      <c r="H60" s="1"/>
      <c r="I60" s="231" t="s">
        <v>25</v>
      </c>
    </row>
    <row r="61" spans="1:9" x14ac:dyDescent="0.3">
      <c r="A61" s="232" t="s">
        <v>279</v>
      </c>
      <c r="B61" s="232"/>
      <c r="C61" s="1" t="s">
        <v>86</v>
      </c>
      <c r="D61" s="114">
        <v>90.7</v>
      </c>
      <c r="E61" s="110" t="s">
        <v>280</v>
      </c>
      <c r="F61" s="1" t="s">
        <v>89</v>
      </c>
      <c r="G61" s="1"/>
      <c r="H61" s="1"/>
      <c r="I61" s="224" t="s">
        <v>146</v>
      </c>
    </row>
    <row r="62" spans="1:9" x14ac:dyDescent="0.3">
      <c r="A62" s="305"/>
      <c r="B62" s="234"/>
      <c r="C62" s="127"/>
      <c r="D62" s="128">
        <f>SUM(D4:D61)</f>
        <v>1455.7500000000002</v>
      </c>
      <c r="E62" s="129"/>
      <c r="F62" s="127"/>
      <c r="G62" s="127"/>
      <c r="H62" s="127"/>
      <c r="I62" s="127"/>
    </row>
  </sheetData>
  <mergeCells count="2">
    <mergeCell ref="A2:H2"/>
    <mergeCell ref="A1:I1"/>
  </mergeCells>
  <pageMargins left="0.7" right="0.7" top="0.78740157499999996" bottom="0.78740157499999996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3"/>
  <sheetViews>
    <sheetView workbookViewId="0">
      <selection activeCell="M21" sqref="M21"/>
    </sheetView>
  </sheetViews>
  <sheetFormatPr defaultRowHeight="14.4" x14ac:dyDescent="0.3"/>
  <cols>
    <col min="1" max="1" width="7.77734375" bestFit="1" customWidth="1"/>
    <col min="2" max="2" width="10.5546875" style="99" bestFit="1" customWidth="1"/>
    <col min="3" max="3" width="7.21875" style="235" bestFit="1" customWidth="1"/>
    <col min="4" max="4" width="13.5546875" style="4" customWidth="1"/>
    <col min="5" max="5" width="11.5546875" style="236" bestFit="1" customWidth="1"/>
    <col min="6" max="6" width="15.77734375" style="237" bestFit="1" customWidth="1"/>
    <col min="7" max="7" width="15.21875" style="4" bestFit="1" customWidth="1"/>
    <col min="8" max="8" width="15.44140625" style="4" bestFit="1" customWidth="1"/>
    <col min="9" max="9" width="13.44140625" style="4" bestFit="1" customWidth="1"/>
    <col min="10" max="10" width="12.77734375" customWidth="1"/>
    <col min="12" max="12" width="21.44140625" bestFit="1" customWidth="1"/>
    <col min="13" max="13" width="19.44140625" bestFit="1" customWidth="1"/>
  </cols>
  <sheetData>
    <row r="1" spans="1:14" s="222" customFormat="1" ht="18.600000000000001" thickTop="1" thickBot="1" x14ac:dyDescent="0.35">
      <c r="A1" s="334" t="s">
        <v>281</v>
      </c>
      <c r="B1" s="335"/>
      <c r="C1" s="335"/>
      <c r="D1" s="335"/>
      <c r="E1" s="335"/>
      <c r="F1" s="335"/>
      <c r="G1" s="335"/>
      <c r="H1" s="335"/>
      <c r="I1" s="336"/>
      <c r="J1" s="321"/>
      <c r="K1" s="38"/>
      <c r="L1" s="89" t="s">
        <v>68</v>
      </c>
      <c r="M1" t="s">
        <v>69</v>
      </c>
      <c r="N1"/>
    </row>
    <row r="2" spans="1:14" s="222" customFormat="1" ht="44.4" thickTop="1" thickBot="1" x14ac:dyDescent="0.35">
      <c r="A2" s="127" t="s">
        <v>282</v>
      </c>
      <c r="B2" s="81" t="s">
        <v>70</v>
      </c>
      <c r="C2" s="223" t="s">
        <v>71</v>
      </c>
      <c r="D2" s="81" t="s">
        <v>72</v>
      </c>
      <c r="E2" s="105" t="s">
        <v>73</v>
      </c>
      <c r="F2" s="83" t="s">
        <v>74</v>
      </c>
      <c r="G2" s="81" t="s">
        <v>75</v>
      </c>
      <c r="H2" s="81" t="s">
        <v>76</v>
      </c>
      <c r="I2" s="85" t="s">
        <v>77</v>
      </c>
      <c r="J2" s="243" t="s">
        <v>125</v>
      </c>
      <c r="K2" s="38"/>
      <c r="L2" s="90">
        <v>0</v>
      </c>
      <c r="M2">
        <v>133.80000000000001</v>
      </c>
      <c r="N2"/>
    </row>
    <row r="3" spans="1:14" ht="15" thickTop="1" x14ac:dyDescent="0.3">
      <c r="A3" s="249">
        <v>1</v>
      </c>
      <c r="B3" s="250" t="s">
        <v>283</v>
      </c>
      <c r="C3" s="250"/>
      <c r="D3" s="108" t="s">
        <v>176</v>
      </c>
      <c r="E3" s="109">
        <v>15.7</v>
      </c>
      <c r="F3" s="229">
        <v>3.3</v>
      </c>
      <c r="G3" s="108" t="s">
        <v>284</v>
      </c>
      <c r="H3" s="108" t="s">
        <v>285</v>
      </c>
      <c r="I3" s="108"/>
      <c r="J3" s="224" t="s">
        <v>146</v>
      </c>
      <c r="L3" s="99" t="s">
        <v>286</v>
      </c>
      <c r="M3">
        <v>53.4</v>
      </c>
    </row>
    <row r="4" spans="1:14" x14ac:dyDescent="0.3">
      <c r="A4" s="2">
        <v>1</v>
      </c>
      <c r="B4" s="232" t="s">
        <v>287</v>
      </c>
      <c r="C4" s="232"/>
      <c r="D4" s="1" t="s">
        <v>194</v>
      </c>
      <c r="E4" s="114">
        <v>4.0999999999999996</v>
      </c>
      <c r="F4" s="110">
        <v>3.29</v>
      </c>
      <c r="G4" s="1" t="s">
        <v>284</v>
      </c>
      <c r="H4" s="1"/>
      <c r="I4" s="1"/>
      <c r="J4" s="231">
        <v>0</v>
      </c>
      <c r="L4" s="99" t="s">
        <v>288</v>
      </c>
      <c r="M4">
        <v>11</v>
      </c>
    </row>
    <row r="5" spans="1:14" x14ac:dyDescent="0.3">
      <c r="A5" s="2">
        <v>1</v>
      </c>
      <c r="B5" s="232" t="s">
        <v>289</v>
      </c>
      <c r="C5" s="232"/>
      <c r="D5" s="1" t="s">
        <v>176</v>
      </c>
      <c r="E5" s="114">
        <v>15.6</v>
      </c>
      <c r="F5" s="110">
        <v>3.3</v>
      </c>
      <c r="G5" s="1" t="s">
        <v>284</v>
      </c>
      <c r="H5" s="1" t="s">
        <v>285</v>
      </c>
      <c r="I5" s="1"/>
      <c r="J5" s="224" t="s">
        <v>146</v>
      </c>
      <c r="L5" s="99" t="s">
        <v>290</v>
      </c>
      <c r="M5">
        <v>3.1</v>
      </c>
    </row>
    <row r="6" spans="1:14" x14ac:dyDescent="0.3">
      <c r="A6" s="2">
        <v>1</v>
      </c>
      <c r="B6" s="232" t="s">
        <v>291</v>
      </c>
      <c r="C6" s="232" t="s">
        <v>292</v>
      </c>
      <c r="D6" s="1" t="s">
        <v>181</v>
      </c>
      <c r="E6" s="114">
        <v>17</v>
      </c>
      <c r="F6" s="110">
        <v>3.3</v>
      </c>
      <c r="G6" s="1" t="s">
        <v>145</v>
      </c>
      <c r="H6" s="1"/>
      <c r="I6" s="1"/>
      <c r="J6" s="224" t="s">
        <v>127</v>
      </c>
      <c r="L6" s="99" t="s">
        <v>194</v>
      </c>
      <c r="M6">
        <v>12.399999999999999</v>
      </c>
    </row>
    <row r="7" spans="1:14" x14ac:dyDescent="0.3">
      <c r="A7" s="2">
        <v>1</v>
      </c>
      <c r="B7" s="232" t="s">
        <v>293</v>
      </c>
      <c r="C7" s="232" t="s">
        <v>294</v>
      </c>
      <c r="D7" s="1" t="s">
        <v>181</v>
      </c>
      <c r="E7" s="114">
        <v>16.5</v>
      </c>
      <c r="F7" s="110">
        <v>3.3</v>
      </c>
      <c r="G7" s="1" t="s">
        <v>145</v>
      </c>
      <c r="H7" s="1"/>
      <c r="I7" s="1"/>
      <c r="J7" s="224" t="s">
        <v>127</v>
      </c>
      <c r="L7" s="99" t="s">
        <v>295</v>
      </c>
      <c r="M7">
        <v>53.900000000000006</v>
      </c>
    </row>
    <row r="8" spans="1:14" x14ac:dyDescent="0.3">
      <c r="A8" s="2">
        <v>1</v>
      </c>
      <c r="B8" s="232" t="s">
        <v>296</v>
      </c>
      <c r="C8" s="232" t="s">
        <v>297</v>
      </c>
      <c r="D8" s="1" t="s">
        <v>181</v>
      </c>
      <c r="E8" s="114">
        <v>16.600000000000001</v>
      </c>
      <c r="F8" s="110">
        <v>3.3</v>
      </c>
      <c r="G8" s="1" t="s">
        <v>298</v>
      </c>
      <c r="H8" s="1"/>
      <c r="I8" s="1"/>
      <c r="J8" s="224" t="s">
        <v>127</v>
      </c>
      <c r="L8" s="90" t="s">
        <v>152</v>
      </c>
      <c r="M8">
        <v>427.8</v>
      </c>
    </row>
    <row r="9" spans="1:14" x14ac:dyDescent="0.3">
      <c r="A9" s="2">
        <v>1</v>
      </c>
      <c r="B9" s="232" t="s">
        <v>299</v>
      </c>
      <c r="C9" s="232" t="s">
        <v>300</v>
      </c>
      <c r="D9" s="1" t="s">
        <v>181</v>
      </c>
      <c r="E9" s="114">
        <v>16.5</v>
      </c>
      <c r="F9" s="110">
        <v>3.3</v>
      </c>
      <c r="G9" s="1" t="s">
        <v>298</v>
      </c>
      <c r="H9" s="1"/>
      <c r="I9" s="1"/>
      <c r="J9" s="224" t="s">
        <v>127</v>
      </c>
      <c r="L9" s="99" t="s">
        <v>183</v>
      </c>
      <c r="M9">
        <v>357.8</v>
      </c>
    </row>
    <row r="10" spans="1:14" x14ac:dyDescent="0.3">
      <c r="A10" s="2">
        <v>1</v>
      </c>
      <c r="B10" s="232" t="s">
        <v>301</v>
      </c>
      <c r="C10" s="232" t="s">
        <v>302</v>
      </c>
      <c r="D10" s="1" t="s">
        <v>181</v>
      </c>
      <c r="E10" s="114">
        <v>16.600000000000001</v>
      </c>
      <c r="F10" s="110">
        <v>3.3</v>
      </c>
      <c r="G10" s="1" t="s">
        <v>298</v>
      </c>
      <c r="H10" s="1"/>
      <c r="I10" s="1"/>
      <c r="J10" s="224" t="s">
        <v>127</v>
      </c>
      <c r="L10" s="99" t="s">
        <v>303</v>
      </c>
      <c r="M10">
        <v>70</v>
      </c>
    </row>
    <row r="11" spans="1:14" x14ac:dyDescent="0.3">
      <c r="A11" s="2">
        <v>1</v>
      </c>
      <c r="B11" s="232" t="s">
        <v>304</v>
      </c>
      <c r="C11" s="232" t="s">
        <v>305</v>
      </c>
      <c r="D11" s="1" t="s">
        <v>181</v>
      </c>
      <c r="E11" s="114">
        <v>16.600000000000001</v>
      </c>
      <c r="F11" s="110">
        <v>3.3</v>
      </c>
      <c r="G11" s="1" t="s">
        <v>298</v>
      </c>
      <c r="H11" s="1"/>
      <c r="I11" s="1"/>
      <c r="J11" s="224" t="s">
        <v>127</v>
      </c>
      <c r="L11" s="90" t="s">
        <v>146</v>
      </c>
      <c r="M11">
        <v>1515.3000000000002</v>
      </c>
    </row>
    <row r="12" spans="1:14" x14ac:dyDescent="0.3">
      <c r="A12" s="2">
        <v>1</v>
      </c>
      <c r="B12" s="232" t="s">
        <v>306</v>
      </c>
      <c r="C12" s="232" t="s">
        <v>267</v>
      </c>
      <c r="D12" s="1" t="s">
        <v>181</v>
      </c>
      <c r="E12" s="114">
        <v>16.2</v>
      </c>
      <c r="F12" s="110">
        <v>3.3</v>
      </c>
      <c r="G12" s="1" t="s">
        <v>298</v>
      </c>
      <c r="H12" s="1"/>
      <c r="I12" s="1"/>
      <c r="J12" s="224" t="s">
        <v>127</v>
      </c>
      <c r="L12" s="99" t="s">
        <v>86</v>
      </c>
      <c r="M12">
        <v>869.1</v>
      </c>
    </row>
    <row r="13" spans="1:14" x14ac:dyDescent="0.3">
      <c r="A13" s="2">
        <v>1</v>
      </c>
      <c r="B13" s="232" t="s">
        <v>307</v>
      </c>
      <c r="C13" s="232" t="s">
        <v>308</v>
      </c>
      <c r="D13" s="1" t="s">
        <v>183</v>
      </c>
      <c r="E13" s="114">
        <v>179</v>
      </c>
      <c r="F13" s="110" t="s">
        <v>309</v>
      </c>
      <c r="G13" s="1" t="s">
        <v>275</v>
      </c>
      <c r="H13" s="1"/>
      <c r="I13" s="1"/>
      <c r="J13" s="231" t="s">
        <v>152</v>
      </c>
      <c r="L13" s="99" t="s">
        <v>310</v>
      </c>
      <c r="M13">
        <v>36</v>
      </c>
    </row>
    <row r="14" spans="1:14" x14ac:dyDescent="0.3">
      <c r="A14" s="2">
        <v>1</v>
      </c>
      <c r="B14" s="232" t="s">
        <v>311</v>
      </c>
      <c r="C14" s="232" t="s">
        <v>312</v>
      </c>
      <c r="D14" s="1" t="s">
        <v>181</v>
      </c>
      <c r="E14" s="114">
        <v>21.2</v>
      </c>
      <c r="F14" s="110">
        <v>3.31</v>
      </c>
      <c r="G14" s="1" t="s">
        <v>298</v>
      </c>
      <c r="H14" s="1"/>
      <c r="I14" s="1"/>
      <c r="J14" s="224" t="s">
        <v>127</v>
      </c>
      <c r="L14" s="99" t="s">
        <v>313</v>
      </c>
      <c r="M14">
        <v>16.899999999999999</v>
      </c>
    </row>
    <row r="15" spans="1:14" x14ac:dyDescent="0.3">
      <c r="A15" s="2">
        <v>1</v>
      </c>
      <c r="B15" s="232" t="s">
        <v>314</v>
      </c>
      <c r="C15" s="232" t="s">
        <v>315</v>
      </c>
      <c r="D15" s="1" t="s">
        <v>181</v>
      </c>
      <c r="E15" s="114">
        <v>10.4</v>
      </c>
      <c r="F15" s="110">
        <v>3.31</v>
      </c>
      <c r="G15" s="1" t="s">
        <v>145</v>
      </c>
      <c r="H15" s="1"/>
      <c r="I15" s="1"/>
      <c r="J15" s="224" t="s">
        <v>127</v>
      </c>
      <c r="L15" s="99" t="s">
        <v>316</v>
      </c>
      <c r="M15">
        <v>394.30000000000007</v>
      </c>
    </row>
    <row r="16" spans="1:14" x14ac:dyDescent="0.3">
      <c r="A16" s="2">
        <v>1</v>
      </c>
      <c r="B16" s="232" t="s">
        <v>317</v>
      </c>
      <c r="C16" s="232" t="s">
        <v>318</v>
      </c>
      <c r="D16" s="1" t="s">
        <v>181</v>
      </c>
      <c r="E16" s="114">
        <v>10.7</v>
      </c>
      <c r="F16" s="110">
        <v>3.31</v>
      </c>
      <c r="G16" s="1" t="s">
        <v>145</v>
      </c>
      <c r="H16" s="1"/>
      <c r="I16" s="1"/>
      <c r="J16" s="224" t="s">
        <v>127</v>
      </c>
      <c r="L16" s="99" t="s">
        <v>319</v>
      </c>
      <c r="M16">
        <v>78</v>
      </c>
    </row>
    <row r="17" spans="1:13" x14ac:dyDescent="0.3">
      <c r="A17" s="2">
        <v>1</v>
      </c>
      <c r="B17" s="232" t="s">
        <v>320</v>
      </c>
      <c r="C17" s="232" t="s">
        <v>321</v>
      </c>
      <c r="D17" s="1" t="s">
        <v>322</v>
      </c>
      <c r="E17" s="114">
        <v>21.7</v>
      </c>
      <c r="F17" s="110">
        <v>3.31</v>
      </c>
      <c r="G17" s="1" t="s">
        <v>145</v>
      </c>
      <c r="H17" s="1"/>
      <c r="I17" s="1"/>
      <c r="J17" s="224" t="s">
        <v>127</v>
      </c>
      <c r="L17" s="99" t="s">
        <v>325</v>
      </c>
      <c r="M17">
        <v>26.5</v>
      </c>
    </row>
    <row r="18" spans="1:13" x14ac:dyDescent="0.3">
      <c r="A18" s="2">
        <v>1</v>
      </c>
      <c r="B18" s="232" t="s">
        <v>323</v>
      </c>
      <c r="C18" s="232" t="s">
        <v>324</v>
      </c>
      <c r="D18" s="1" t="s">
        <v>181</v>
      </c>
      <c r="E18" s="114">
        <v>11.2</v>
      </c>
      <c r="F18" s="110">
        <v>3.31</v>
      </c>
      <c r="G18" s="1" t="s">
        <v>145</v>
      </c>
      <c r="H18" s="1"/>
      <c r="I18" s="1"/>
      <c r="J18" s="224" t="s">
        <v>127</v>
      </c>
      <c r="L18" s="99" t="s">
        <v>176</v>
      </c>
      <c r="M18">
        <v>94.5</v>
      </c>
    </row>
    <row r="19" spans="1:13" x14ac:dyDescent="0.3">
      <c r="A19" s="2">
        <v>1</v>
      </c>
      <c r="B19" s="232" t="s">
        <v>326</v>
      </c>
      <c r="C19" s="232" t="s">
        <v>327</v>
      </c>
      <c r="D19" s="1" t="s">
        <v>181</v>
      </c>
      <c r="E19" s="114">
        <v>10.6</v>
      </c>
      <c r="F19" s="110">
        <v>3.31</v>
      </c>
      <c r="G19" s="1" t="s">
        <v>145</v>
      </c>
      <c r="H19" s="1"/>
      <c r="I19" s="1"/>
      <c r="J19" s="224" t="s">
        <v>127</v>
      </c>
      <c r="L19" s="90" t="s">
        <v>127</v>
      </c>
      <c r="M19">
        <v>650.00000000000011</v>
      </c>
    </row>
    <row r="20" spans="1:13" x14ac:dyDescent="0.3">
      <c r="A20" s="2">
        <v>1</v>
      </c>
      <c r="B20" s="232" t="s">
        <v>328</v>
      </c>
      <c r="C20" s="232" t="s">
        <v>329</v>
      </c>
      <c r="D20" s="1" t="s">
        <v>181</v>
      </c>
      <c r="E20" s="114">
        <v>21.1</v>
      </c>
      <c r="F20" s="110">
        <v>3.31</v>
      </c>
      <c r="G20" s="1" t="s">
        <v>145</v>
      </c>
      <c r="H20" s="1"/>
      <c r="I20" s="1"/>
      <c r="J20" s="224" t="s">
        <v>127</v>
      </c>
      <c r="L20" s="99" t="s">
        <v>181</v>
      </c>
      <c r="M20">
        <v>595.50000000000011</v>
      </c>
    </row>
    <row r="21" spans="1:13" x14ac:dyDescent="0.3">
      <c r="A21" s="2">
        <v>1</v>
      </c>
      <c r="B21" s="232" t="s">
        <v>330</v>
      </c>
      <c r="C21" s="232"/>
      <c r="D21" s="1" t="s">
        <v>1488</v>
      </c>
      <c r="E21" s="114">
        <v>14</v>
      </c>
      <c r="F21" s="110">
        <v>3.3</v>
      </c>
      <c r="G21" s="1" t="s">
        <v>145</v>
      </c>
      <c r="H21" s="1"/>
      <c r="I21" s="1"/>
      <c r="J21" s="224" t="s">
        <v>331</v>
      </c>
      <c r="L21" s="99" t="s">
        <v>310</v>
      </c>
      <c r="M21">
        <v>32.799999999999997</v>
      </c>
    </row>
    <row r="22" spans="1:13" x14ac:dyDescent="0.3">
      <c r="A22" s="2">
        <v>1</v>
      </c>
      <c r="B22" s="232" t="s">
        <v>332</v>
      </c>
      <c r="C22" s="232"/>
      <c r="D22" s="1" t="s">
        <v>319</v>
      </c>
      <c r="E22" s="114">
        <v>10</v>
      </c>
      <c r="F22" s="110" t="s">
        <v>333</v>
      </c>
      <c r="G22" s="1" t="s">
        <v>334</v>
      </c>
      <c r="H22" s="1"/>
      <c r="I22" s="1"/>
      <c r="J22" s="224" t="s">
        <v>146</v>
      </c>
      <c r="L22" s="99" t="s">
        <v>322</v>
      </c>
      <c r="M22">
        <v>21.7</v>
      </c>
    </row>
    <row r="23" spans="1:13" x14ac:dyDescent="0.3">
      <c r="A23" s="2">
        <v>1</v>
      </c>
      <c r="B23" s="232" t="s">
        <v>335</v>
      </c>
      <c r="C23" s="232"/>
      <c r="D23" s="1" t="s">
        <v>181</v>
      </c>
      <c r="E23" s="114">
        <v>18.899999999999999</v>
      </c>
      <c r="F23" s="110" t="s">
        <v>336</v>
      </c>
      <c r="G23" s="1" t="s">
        <v>145</v>
      </c>
      <c r="H23" s="1"/>
      <c r="I23" s="1"/>
      <c r="J23" s="224" t="s">
        <v>127</v>
      </c>
      <c r="L23" s="90" t="s">
        <v>331</v>
      </c>
      <c r="M23">
        <v>14</v>
      </c>
    </row>
    <row r="24" spans="1:13" x14ac:dyDescent="0.3">
      <c r="A24" s="2">
        <v>1</v>
      </c>
      <c r="B24" s="232" t="s">
        <v>337</v>
      </c>
      <c r="C24" s="232"/>
      <c r="D24" s="1" t="s">
        <v>295</v>
      </c>
      <c r="E24" s="114">
        <v>20.100000000000001</v>
      </c>
      <c r="F24" s="110">
        <v>2.2400000000000002</v>
      </c>
      <c r="G24" s="1" t="s">
        <v>120</v>
      </c>
      <c r="H24" s="1"/>
      <c r="I24" s="1"/>
      <c r="J24" s="231">
        <v>0</v>
      </c>
      <c r="L24" s="99" t="s">
        <v>1488</v>
      </c>
      <c r="M24">
        <v>14</v>
      </c>
    </row>
    <row r="25" spans="1:13" x14ac:dyDescent="0.3">
      <c r="A25" s="2">
        <v>2</v>
      </c>
      <c r="B25" s="232" t="s">
        <v>338</v>
      </c>
      <c r="C25" s="232"/>
      <c r="D25" s="1" t="s">
        <v>286</v>
      </c>
      <c r="E25" s="114">
        <v>53.4</v>
      </c>
      <c r="F25" s="110">
        <v>3.29</v>
      </c>
      <c r="G25" s="1" t="s">
        <v>145</v>
      </c>
      <c r="H25" s="1" t="s">
        <v>339</v>
      </c>
      <c r="I25" s="1"/>
      <c r="J25" s="231">
        <v>0</v>
      </c>
      <c r="L25" s="90" t="s">
        <v>122</v>
      </c>
      <c r="M25">
        <v>2740.9</v>
      </c>
    </row>
    <row r="26" spans="1:13" x14ac:dyDescent="0.3">
      <c r="A26" s="2">
        <v>2</v>
      </c>
      <c r="B26" s="232" t="s">
        <v>340</v>
      </c>
      <c r="C26" s="232" t="s">
        <v>341</v>
      </c>
      <c r="D26" s="1" t="s">
        <v>181</v>
      </c>
      <c r="E26" s="114">
        <v>16.8</v>
      </c>
      <c r="F26" s="110">
        <v>3.32</v>
      </c>
      <c r="G26" s="1" t="s">
        <v>298</v>
      </c>
      <c r="H26" s="1"/>
      <c r="I26" s="1"/>
      <c r="J26" s="224" t="s">
        <v>127</v>
      </c>
    </row>
    <row r="27" spans="1:13" x14ac:dyDescent="0.3">
      <c r="A27" s="2">
        <v>2</v>
      </c>
      <c r="B27" s="232" t="s">
        <v>342</v>
      </c>
      <c r="C27" s="232" t="s">
        <v>343</v>
      </c>
      <c r="D27" s="1" t="s">
        <v>181</v>
      </c>
      <c r="E27" s="114">
        <v>18</v>
      </c>
      <c r="F27" s="110">
        <v>3.31</v>
      </c>
      <c r="G27" s="1" t="s">
        <v>298</v>
      </c>
      <c r="H27" s="1"/>
      <c r="I27" s="1"/>
      <c r="J27" s="224" t="s">
        <v>127</v>
      </c>
    </row>
    <row r="28" spans="1:13" x14ac:dyDescent="0.3">
      <c r="A28" s="2">
        <v>2</v>
      </c>
      <c r="B28" s="232" t="s">
        <v>344</v>
      </c>
      <c r="C28" s="232" t="s">
        <v>345</v>
      </c>
      <c r="D28" s="1" t="s">
        <v>181</v>
      </c>
      <c r="E28" s="114">
        <v>16.3</v>
      </c>
      <c r="F28" s="110">
        <v>3.31</v>
      </c>
      <c r="G28" s="1" t="s">
        <v>298</v>
      </c>
      <c r="H28" s="1"/>
      <c r="I28" s="1"/>
      <c r="J28" s="224" t="s">
        <v>127</v>
      </c>
    </row>
    <row r="29" spans="1:13" x14ac:dyDescent="0.3">
      <c r="A29" s="2">
        <v>2</v>
      </c>
      <c r="B29" s="232" t="s">
        <v>346</v>
      </c>
      <c r="C29" s="232" t="s">
        <v>347</v>
      </c>
      <c r="D29" s="1" t="s">
        <v>181</v>
      </c>
      <c r="E29" s="114">
        <v>33.4</v>
      </c>
      <c r="F29" s="110">
        <v>3.05</v>
      </c>
      <c r="G29" s="1" t="s">
        <v>298</v>
      </c>
      <c r="H29" s="1"/>
      <c r="I29" s="1" t="s">
        <v>208</v>
      </c>
      <c r="J29" s="224" t="s">
        <v>127</v>
      </c>
    </row>
    <row r="30" spans="1:13" x14ac:dyDescent="0.3">
      <c r="A30" s="2">
        <v>2</v>
      </c>
      <c r="B30" s="232" t="s">
        <v>348</v>
      </c>
      <c r="C30" s="232" t="s">
        <v>349</v>
      </c>
      <c r="D30" s="1" t="s">
        <v>313</v>
      </c>
      <c r="E30" s="114">
        <v>16.899999999999999</v>
      </c>
      <c r="F30" s="110">
        <v>3.32</v>
      </c>
      <c r="G30" s="8" t="s">
        <v>298</v>
      </c>
      <c r="H30" s="1"/>
      <c r="I30" s="1"/>
      <c r="J30" s="224" t="s">
        <v>146</v>
      </c>
    </row>
    <row r="31" spans="1:13" x14ac:dyDescent="0.3">
      <c r="A31" s="2">
        <v>2</v>
      </c>
      <c r="B31" s="232" t="s">
        <v>350</v>
      </c>
      <c r="C31" s="232"/>
      <c r="D31" s="1" t="s">
        <v>295</v>
      </c>
      <c r="E31" s="114">
        <v>15.8</v>
      </c>
      <c r="F31" s="110">
        <v>3.32</v>
      </c>
      <c r="G31" s="1" t="s">
        <v>120</v>
      </c>
      <c r="H31" s="1"/>
      <c r="I31" s="1"/>
      <c r="J31" s="224">
        <v>0</v>
      </c>
    </row>
    <row r="32" spans="1:13" x14ac:dyDescent="0.3">
      <c r="A32" s="2">
        <v>2</v>
      </c>
      <c r="B32" s="232" t="s">
        <v>351</v>
      </c>
      <c r="C32" s="232" t="s">
        <v>352</v>
      </c>
      <c r="D32" s="1" t="s">
        <v>181</v>
      </c>
      <c r="E32" s="114">
        <v>20.7</v>
      </c>
      <c r="F32" s="110">
        <v>3.32</v>
      </c>
      <c r="G32" s="1" t="s">
        <v>298</v>
      </c>
      <c r="H32" s="1"/>
      <c r="I32" s="1"/>
      <c r="J32" s="224" t="s">
        <v>127</v>
      </c>
    </row>
    <row r="33" spans="1:10" x14ac:dyDescent="0.3">
      <c r="A33" s="2">
        <v>2</v>
      </c>
      <c r="B33" s="232" t="s">
        <v>353</v>
      </c>
      <c r="C33" s="232" t="s">
        <v>354</v>
      </c>
      <c r="D33" s="1" t="s">
        <v>181</v>
      </c>
      <c r="E33" s="114">
        <v>11.4</v>
      </c>
      <c r="F33" s="110">
        <v>3.32</v>
      </c>
      <c r="G33" s="1" t="s">
        <v>298</v>
      </c>
      <c r="H33" s="1"/>
      <c r="I33" s="1"/>
      <c r="J33" s="224" t="s">
        <v>127</v>
      </c>
    </row>
    <row r="34" spans="1:10" x14ac:dyDescent="0.3">
      <c r="A34" s="2">
        <v>2</v>
      </c>
      <c r="B34" s="232" t="s">
        <v>355</v>
      </c>
      <c r="C34" s="232" t="s">
        <v>356</v>
      </c>
      <c r="D34" s="1" t="s">
        <v>181</v>
      </c>
      <c r="E34" s="114">
        <v>11.2</v>
      </c>
      <c r="F34" s="110">
        <v>3.32</v>
      </c>
      <c r="G34" s="1" t="s">
        <v>298</v>
      </c>
      <c r="H34" s="1"/>
      <c r="I34" s="1"/>
      <c r="J34" s="224" t="s">
        <v>127</v>
      </c>
    </row>
    <row r="35" spans="1:10" x14ac:dyDescent="0.3">
      <c r="A35" s="2">
        <v>2</v>
      </c>
      <c r="B35" s="232" t="s">
        <v>357</v>
      </c>
      <c r="C35" s="232" t="s">
        <v>358</v>
      </c>
      <c r="D35" s="1" t="s">
        <v>181</v>
      </c>
      <c r="E35" s="114">
        <v>22.1</v>
      </c>
      <c r="F35" s="110">
        <v>3.32</v>
      </c>
      <c r="G35" s="1" t="s">
        <v>298</v>
      </c>
      <c r="H35" s="1"/>
      <c r="I35" s="1"/>
      <c r="J35" s="224" t="s">
        <v>127</v>
      </c>
    </row>
    <row r="36" spans="1:10" x14ac:dyDescent="0.3">
      <c r="A36" s="2">
        <v>2</v>
      </c>
      <c r="B36" s="232" t="s">
        <v>359</v>
      </c>
      <c r="C36" s="41" t="s">
        <v>360</v>
      </c>
      <c r="D36" s="8" t="s">
        <v>310</v>
      </c>
      <c r="E36" s="114">
        <v>32.799999999999997</v>
      </c>
      <c r="F36" s="110">
        <v>3.31</v>
      </c>
      <c r="G36" s="1" t="s">
        <v>298</v>
      </c>
      <c r="H36" s="1"/>
      <c r="I36" s="1"/>
      <c r="J36" s="224" t="s">
        <v>127</v>
      </c>
    </row>
    <row r="37" spans="1:10" x14ac:dyDescent="0.3">
      <c r="A37" s="2">
        <v>2</v>
      </c>
      <c r="B37" s="232" t="s">
        <v>361</v>
      </c>
      <c r="C37" s="232" t="s">
        <v>362</v>
      </c>
      <c r="D37" s="1" t="s">
        <v>288</v>
      </c>
      <c r="E37" s="114">
        <v>11</v>
      </c>
      <c r="F37" s="110">
        <v>3.28</v>
      </c>
      <c r="G37" s="1" t="s">
        <v>145</v>
      </c>
      <c r="H37" s="1"/>
      <c r="I37" s="1"/>
      <c r="J37" s="224">
        <v>0</v>
      </c>
    </row>
    <row r="38" spans="1:10" x14ac:dyDescent="0.3">
      <c r="A38" s="2">
        <v>2</v>
      </c>
      <c r="B38" s="232" t="s">
        <v>363</v>
      </c>
      <c r="C38" s="232"/>
      <c r="D38" s="1" t="s">
        <v>176</v>
      </c>
      <c r="E38" s="114">
        <v>15.6</v>
      </c>
      <c r="F38" s="110">
        <v>3.28</v>
      </c>
      <c r="G38" s="1" t="s">
        <v>284</v>
      </c>
      <c r="H38" s="1" t="s">
        <v>364</v>
      </c>
      <c r="I38" s="1"/>
      <c r="J38" s="224" t="s">
        <v>146</v>
      </c>
    </row>
    <row r="39" spans="1:10" x14ac:dyDescent="0.3">
      <c r="A39" s="2">
        <v>2</v>
      </c>
      <c r="B39" s="232" t="s">
        <v>365</v>
      </c>
      <c r="C39" s="232"/>
      <c r="D39" s="1" t="s">
        <v>194</v>
      </c>
      <c r="E39" s="114">
        <v>4.0999999999999996</v>
      </c>
      <c r="F39" s="110">
        <v>3.3</v>
      </c>
      <c r="G39" s="1" t="s">
        <v>284</v>
      </c>
      <c r="H39" s="1"/>
      <c r="I39" s="1"/>
      <c r="J39" s="224">
        <v>0</v>
      </c>
    </row>
    <row r="40" spans="1:10" x14ac:dyDescent="0.3">
      <c r="A40" s="2">
        <v>2</v>
      </c>
      <c r="B40" s="232" t="s">
        <v>366</v>
      </c>
      <c r="C40" s="232"/>
      <c r="D40" s="1" t="s">
        <v>176</v>
      </c>
      <c r="E40" s="114">
        <v>15.7</v>
      </c>
      <c r="F40" s="110">
        <v>3.28</v>
      </c>
      <c r="G40" s="1" t="s">
        <v>284</v>
      </c>
      <c r="H40" s="1" t="s">
        <v>367</v>
      </c>
      <c r="I40" s="1"/>
      <c r="J40" s="224" t="s">
        <v>146</v>
      </c>
    </row>
    <row r="41" spans="1:10" x14ac:dyDescent="0.3">
      <c r="A41" s="2">
        <v>3</v>
      </c>
      <c r="B41" s="232" t="s">
        <v>368</v>
      </c>
      <c r="C41" s="232"/>
      <c r="D41" s="1" t="s">
        <v>319</v>
      </c>
      <c r="E41" s="114">
        <v>10.1</v>
      </c>
      <c r="F41" s="110" t="s">
        <v>369</v>
      </c>
      <c r="G41" s="1" t="s">
        <v>334</v>
      </c>
      <c r="H41" s="1"/>
      <c r="I41" s="1"/>
      <c r="J41" s="224" t="s">
        <v>146</v>
      </c>
    </row>
    <row r="42" spans="1:10" x14ac:dyDescent="0.3">
      <c r="A42" s="2">
        <v>3</v>
      </c>
      <c r="B42" s="232" t="s">
        <v>370</v>
      </c>
      <c r="C42" s="232"/>
      <c r="D42" s="1" t="s">
        <v>181</v>
      </c>
      <c r="E42" s="114">
        <v>19.100000000000001</v>
      </c>
      <c r="F42" s="110">
        <v>2.36</v>
      </c>
      <c r="G42" s="1" t="s">
        <v>145</v>
      </c>
      <c r="H42" s="1"/>
      <c r="I42" s="1"/>
      <c r="J42" s="224" t="s">
        <v>127</v>
      </c>
    </row>
    <row r="43" spans="1:10" x14ac:dyDescent="0.3">
      <c r="A43" s="2">
        <v>3</v>
      </c>
      <c r="B43" s="232" t="s">
        <v>371</v>
      </c>
      <c r="C43" s="232"/>
      <c r="D43" s="1" t="s">
        <v>295</v>
      </c>
      <c r="E43" s="114">
        <v>18</v>
      </c>
      <c r="F43" s="110" t="s">
        <v>372</v>
      </c>
      <c r="G43" s="1" t="s">
        <v>120</v>
      </c>
      <c r="H43" s="1"/>
      <c r="I43" s="1"/>
      <c r="J43" s="224">
        <v>0</v>
      </c>
    </row>
    <row r="44" spans="1:10" x14ac:dyDescent="0.3">
      <c r="A44" s="2">
        <v>3</v>
      </c>
      <c r="B44" s="232" t="s">
        <v>373</v>
      </c>
      <c r="C44" s="232"/>
      <c r="D44" s="1" t="s">
        <v>310</v>
      </c>
      <c r="E44" s="114">
        <v>36</v>
      </c>
      <c r="F44" s="110" t="s">
        <v>374</v>
      </c>
      <c r="G44" s="1" t="s">
        <v>298</v>
      </c>
      <c r="H44" s="1"/>
      <c r="I44" s="1"/>
      <c r="J44" s="224" t="s">
        <v>146</v>
      </c>
    </row>
    <row r="45" spans="1:10" x14ac:dyDescent="0.3">
      <c r="A45" s="2">
        <v>3</v>
      </c>
      <c r="B45" s="232" t="s">
        <v>375</v>
      </c>
      <c r="C45" s="232"/>
      <c r="D45" s="1" t="s">
        <v>303</v>
      </c>
      <c r="E45" s="114">
        <v>52.7</v>
      </c>
      <c r="F45" s="110">
        <v>3.31</v>
      </c>
      <c r="G45" s="1" t="s">
        <v>298</v>
      </c>
      <c r="H45" s="1"/>
      <c r="I45" s="1"/>
      <c r="J45" s="224" t="s">
        <v>152</v>
      </c>
    </row>
    <row r="46" spans="1:10" x14ac:dyDescent="0.3">
      <c r="A46" s="2">
        <v>3</v>
      </c>
      <c r="B46" s="232" t="s">
        <v>376</v>
      </c>
      <c r="C46" s="232"/>
      <c r="D46" s="1" t="s">
        <v>303</v>
      </c>
      <c r="E46" s="114">
        <v>17.3</v>
      </c>
      <c r="F46" s="110">
        <v>3.32</v>
      </c>
      <c r="G46" s="1" t="s">
        <v>298</v>
      </c>
      <c r="H46" s="1"/>
      <c r="I46" s="1"/>
      <c r="J46" s="224" t="s">
        <v>152</v>
      </c>
    </row>
    <row r="47" spans="1:10" x14ac:dyDescent="0.3">
      <c r="A47" s="2">
        <v>3</v>
      </c>
      <c r="B47" s="232" t="s">
        <v>377</v>
      </c>
      <c r="C47" s="232" t="s">
        <v>378</v>
      </c>
      <c r="D47" s="1" t="s">
        <v>181</v>
      </c>
      <c r="E47" s="114">
        <v>16.5</v>
      </c>
      <c r="F47" s="110">
        <v>3.32</v>
      </c>
      <c r="G47" s="1" t="s">
        <v>379</v>
      </c>
      <c r="H47" s="1"/>
      <c r="I47" s="1"/>
      <c r="J47" s="224" t="s">
        <v>127</v>
      </c>
    </row>
    <row r="48" spans="1:10" x14ac:dyDescent="0.3">
      <c r="A48" s="2">
        <v>3</v>
      </c>
      <c r="B48" s="232" t="s">
        <v>380</v>
      </c>
      <c r="C48" s="232" t="s">
        <v>381</v>
      </c>
      <c r="D48" s="1" t="s">
        <v>181</v>
      </c>
      <c r="E48" s="114">
        <v>16.5</v>
      </c>
      <c r="F48" s="110">
        <v>3.32</v>
      </c>
      <c r="G48" s="1" t="s">
        <v>379</v>
      </c>
      <c r="H48" s="1"/>
      <c r="I48" s="1"/>
      <c r="J48" s="224" t="s">
        <v>127</v>
      </c>
    </row>
    <row r="49" spans="1:10" x14ac:dyDescent="0.3">
      <c r="A49" s="2">
        <v>3</v>
      </c>
      <c r="B49" s="232" t="s">
        <v>382</v>
      </c>
      <c r="C49" s="232" t="s">
        <v>383</v>
      </c>
      <c r="D49" s="1" t="s">
        <v>181</v>
      </c>
      <c r="E49" s="114">
        <v>16.399999999999999</v>
      </c>
      <c r="F49" s="110">
        <v>3.31</v>
      </c>
      <c r="G49" s="1" t="s">
        <v>379</v>
      </c>
      <c r="H49" s="1"/>
      <c r="I49" s="1"/>
      <c r="J49" s="224" t="s">
        <v>127</v>
      </c>
    </row>
    <row r="50" spans="1:10" x14ac:dyDescent="0.3">
      <c r="A50" s="2">
        <v>3</v>
      </c>
      <c r="B50" s="232" t="s">
        <v>384</v>
      </c>
      <c r="C50" s="232" t="s">
        <v>385</v>
      </c>
      <c r="D50" s="1" t="s">
        <v>181</v>
      </c>
      <c r="E50" s="114">
        <v>16.5</v>
      </c>
      <c r="F50" s="110">
        <v>3.31</v>
      </c>
      <c r="G50" s="1" t="s">
        <v>298</v>
      </c>
      <c r="H50" s="1"/>
      <c r="I50" s="1"/>
      <c r="J50" s="224" t="s">
        <v>127</v>
      </c>
    </row>
    <row r="51" spans="1:10" x14ac:dyDescent="0.3">
      <c r="A51" s="2">
        <v>3</v>
      </c>
      <c r="B51" s="232" t="s">
        <v>386</v>
      </c>
      <c r="C51" s="232" t="s">
        <v>387</v>
      </c>
      <c r="D51" s="1" t="s">
        <v>181</v>
      </c>
      <c r="E51" s="114">
        <v>33.700000000000003</v>
      </c>
      <c r="F51" s="110">
        <v>3.31</v>
      </c>
      <c r="G51" s="1" t="s">
        <v>145</v>
      </c>
      <c r="H51" s="1"/>
      <c r="I51" s="1"/>
      <c r="J51" s="224" t="s">
        <v>127</v>
      </c>
    </row>
    <row r="52" spans="1:10" x14ac:dyDescent="0.3">
      <c r="A52" s="2">
        <v>3</v>
      </c>
      <c r="B52" s="232" t="s">
        <v>388</v>
      </c>
      <c r="C52" s="232"/>
      <c r="D52" s="1" t="s">
        <v>183</v>
      </c>
      <c r="E52" s="114">
        <v>178.8</v>
      </c>
      <c r="F52" s="110" t="s">
        <v>389</v>
      </c>
      <c r="G52" s="1" t="s">
        <v>284</v>
      </c>
      <c r="H52" s="1"/>
      <c r="I52" s="1"/>
      <c r="J52" s="224" t="s">
        <v>152</v>
      </c>
    </row>
    <row r="53" spans="1:10" x14ac:dyDescent="0.3">
      <c r="A53" s="2">
        <v>3</v>
      </c>
      <c r="B53" s="232" t="s">
        <v>390</v>
      </c>
      <c r="C53" s="232" t="s">
        <v>391</v>
      </c>
      <c r="D53" s="1" t="s">
        <v>181</v>
      </c>
      <c r="E53" s="114">
        <v>10.199999999999999</v>
      </c>
      <c r="F53" s="110">
        <v>3.32</v>
      </c>
      <c r="G53" s="1" t="s">
        <v>145</v>
      </c>
      <c r="H53" s="1"/>
      <c r="I53" s="1"/>
      <c r="J53" s="224" t="s">
        <v>127</v>
      </c>
    </row>
    <row r="54" spans="1:10" x14ac:dyDescent="0.3">
      <c r="A54" s="2">
        <v>3</v>
      </c>
      <c r="B54" s="232" t="s">
        <v>392</v>
      </c>
      <c r="C54" s="232" t="s">
        <v>393</v>
      </c>
      <c r="D54" s="1" t="s">
        <v>181</v>
      </c>
      <c r="E54" s="114">
        <v>10.6</v>
      </c>
      <c r="F54" s="110">
        <v>3.32</v>
      </c>
      <c r="G54" s="1" t="s">
        <v>298</v>
      </c>
      <c r="H54" s="1"/>
      <c r="I54" s="1"/>
      <c r="J54" s="224" t="s">
        <v>127</v>
      </c>
    </row>
    <row r="55" spans="1:10" x14ac:dyDescent="0.3">
      <c r="A55" s="2">
        <v>3</v>
      </c>
      <c r="B55" s="232" t="s">
        <v>394</v>
      </c>
      <c r="C55" s="232" t="s">
        <v>395</v>
      </c>
      <c r="D55" s="1" t="s">
        <v>181</v>
      </c>
      <c r="E55" s="114">
        <v>10.5</v>
      </c>
      <c r="F55" s="110">
        <v>3.32</v>
      </c>
      <c r="G55" s="1" t="s">
        <v>145</v>
      </c>
      <c r="H55" s="1"/>
      <c r="I55" s="1"/>
      <c r="J55" s="224" t="s">
        <v>127</v>
      </c>
    </row>
    <row r="56" spans="1:10" x14ac:dyDescent="0.3">
      <c r="A56" s="2">
        <v>3</v>
      </c>
      <c r="B56" s="232" t="s">
        <v>396</v>
      </c>
      <c r="C56" s="232" t="s">
        <v>397</v>
      </c>
      <c r="D56" s="1" t="s">
        <v>181</v>
      </c>
      <c r="E56" s="114">
        <v>10.6</v>
      </c>
      <c r="F56" s="110">
        <v>3.32</v>
      </c>
      <c r="G56" s="1" t="s">
        <v>298</v>
      </c>
      <c r="H56" s="1"/>
      <c r="I56" s="1"/>
      <c r="J56" s="224" t="s">
        <v>127</v>
      </c>
    </row>
    <row r="57" spans="1:10" x14ac:dyDescent="0.3">
      <c r="A57" s="2">
        <v>3</v>
      </c>
      <c r="B57" s="232" t="s">
        <v>398</v>
      </c>
      <c r="C57" s="232"/>
      <c r="D57" s="1" t="s">
        <v>181</v>
      </c>
      <c r="E57" s="114">
        <v>21.9</v>
      </c>
      <c r="F57" s="110">
        <v>3.32</v>
      </c>
      <c r="G57" s="1" t="s">
        <v>298</v>
      </c>
      <c r="H57" s="1"/>
      <c r="I57" s="1"/>
      <c r="J57" s="224" t="s">
        <v>127</v>
      </c>
    </row>
    <row r="58" spans="1:10" x14ac:dyDescent="0.3">
      <c r="A58" s="2">
        <v>3</v>
      </c>
      <c r="B58" s="232" t="s">
        <v>399</v>
      </c>
      <c r="C58" s="232"/>
      <c r="D58" s="1" t="s">
        <v>181</v>
      </c>
      <c r="E58" s="114">
        <v>22.1</v>
      </c>
      <c r="F58" s="110">
        <v>3.32</v>
      </c>
      <c r="G58" s="1" t="s">
        <v>379</v>
      </c>
      <c r="H58" s="1"/>
      <c r="I58" s="1"/>
      <c r="J58" s="224" t="s">
        <v>127</v>
      </c>
    </row>
    <row r="59" spans="1:10" x14ac:dyDescent="0.3">
      <c r="A59" s="2">
        <v>3</v>
      </c>
      <c r="B59" s="232" t="s">
        <v>400</v>
      </c>
      <c r="C59" s="232" t="s">
        <v>401</v>
      </c>
      <c r="D59" s="1" t="s">
        <v>181</v>
      </c>
      <c r="E59" s="114">
        <v>10.7</v>
      </c>
      <c r="F59" s="110">
        <v>3.31</v>
      </c>
      <c r="G59" s="1" t="s">
        <v>379</v>
      </c>
      <c r="H59" s="1"/>
      <c r="I59" s="1"/>
      <c r="J59" s="224" t="s">
        <v>127</v>
      </c>
    </row>
    <row r="60" spans="1:10" x14ac:dyDescent="0.3">
      <c r="A60" s="2">
        <v>3</v>
      </c>
      <c r="B60" s="232" t="s">
        <v>402</v>
      </c>
      <c r="C60" s="232" t="s">
        <v>403</v>
      </c>
      <c r="D60" s="1" t="s">
        <v>181</v>
      </c>
      <c r="E60" s="114">
        <v>10.199999999999999</v>
      </c>
      <c r="F60" s="110">
        <v>3.32</v>
      </c>
      <c r="G60" s="1" t="s">
        <v>145</v>
      </c>
      <c r="H60" s="1"/>
      <c r="I60" s="1"/>
      <c r="J60" s="224" t="s">
        <v>127</v>
      </c>
    </row>
    <row r="61" spans="1:10" x14ac:dyDescent="0.3">
      <c r="A61" s="2">
        <v>3</v>
      </c>
      <c r="B61" s="232" t="s">
        <v>404</v>
      </c>
      <c r="C61" s="232"/>
      <c r="D61" s="1" t="s">
        <v>176</v>
      </c>
      <c r="E61" s="114">
        <v>15.9</v>
      </c>
      <c r="F61" s="110">
        <v>3.32</v>
      </c>
      <c r="G61" s="1" t="s">
        <v>284</v>
      </c>
      <c r="H61" s="1" t="s">
        <v>405</v>
      </c>
      <c r="I61" s="1"/>
      <c r="J61" s="224" t="s">
        <v>146</v>
      </c>
    </row>
    <row r="62" spans="1:10" x14ac:dyDescent="0.3">
      <c r="A62" s="2">
        <v>3</v>
      </c>
      <c r="B62" s="251" t="s">
        <v>406</v>
      </c>
      <c r="C62" s="232"/>
      <c r="D62" s="1" t="s">
        <v>194</v>
      </c>
      <c r="E62" s="114">
        <v>4.2</v>
      </c>
      <c r="F62" s="110">
        <v>3.31</v>
      </c>
      <c r="G62" s="1" t="s">
        <v>284</v>
      </c>
      <c r="H62" s="1" t="s">
        <v>407</v>
      </c>
      <c r="I62" s="1"/>
      <c r="J62" s="224">
        <v>0</v>
      </c>
    </row>
    <row r="63" spans="1:10" x14ac:dyDescent="0.3">
      <c r="A63" s="2">
        <v>3</v>
      </c>
      <c r="B63" s="251" t="s">
        <v>408</v>
      </c>
      <c r="C63" s="232"/>
      <c r="D63" s="1" t="s">
        <v>176</v>
      </c>
      <c r="E63" s="114">
        <v>16</v>
      </c>
      <c r="F63" s="110">
        <v>3.32</v>
      </c>
      <c r="G63" s="1" t="s">
        <v>284</v>
      </c>
      <c r="H63" s="1" t="s">
        <v>405</v>
      </c>
      <c r="I63" s="1"/>
      <c r="J63" s="224" t="s">
        <v>146</v>
      </c>
    </row>
    <row r="64" spans="1:10" x14ac:dyDescent="0.3">
      <c r="A64" s="2">
        <v>3</v>
      </c>
      <c r="B64" s="251" t="s">
        <v>409</v>
      </c>
      <c r="C64" s="232"/>
      <c r="D64" s="1" t="s">
        <v>290</v>
      </c>
      <c r="E64" s="114">
        <v>3.1</v>
      </c>
      <c r="F64" s="110">
        <v>3.3</v>
      </c>
      <c r="G64" s="1" t="s">
        <v>284</v>
      </c>
      <c r="H64" s="1"/>
      <c r="I64" s="1"/>
      <c r="J64" s="224">
        <v>0</v>
      </c>
    </row>
    <row r="65" spans="1:10" x14ac:dyDescent="0.3">
      <c r="A65" s="2">
        <v>1</v>
      </c>
      <c r="B65" s="251" t="s">
        <v>410</v>
      </c>
      <c r="C65" s="232"/>
      <c r="D65" s="1" t="s">
        <v>319</v>
      </c>
      <c r="E65" s="114">
        <v>19.3</v>
      </c>
      <c r="F65" s="110">
        <v>3.3</v>
      </c>
      <c r="G65" s="1" t="s">
        <v>284</v>
      </c>
      <c r="H65" s="1"/>
      <c r="I65" s="1"/>
      <c r="J65" s="224" t="s">
        <v>146</v>
      </c>
    </row>
    <row r="66" spans="1:10" x14ac:dyDescent="0.3">
      <c r="A66" s="2">
        <v>2</v>
      </c>
      <c r="B66" s="251" t="s">
        <v>411</v>
      </c>
      <c r="C66" s="232"/>
      <c r="D66" s="1" t="s">
        <v>319</v>
      </c>
      <c r="E66" s="114">
        <v>19.3</v>
      </c>
      <c r="F66" s="110">
        <v>3.27</v>
      </c>
      <c r="G66" s="1" t="s">
        <v>284</v>
      </c>
      <c r="H66" s="1"/>
      <c r="I66" s="1"/>
      <c r="J66" s="224" t="s">
        <v>146</v>
      </c>
    </row>
    <row r="67" spans="1:10" x14ac:dyDescent="0.3">
      <c r="A67" s="2">
        <v>3</v>
      </c>
      <c r="B67" s="251" t="s">
        <v>412</v>
      </c>
      <c r="C67" s="232"/>
      <c r="D67" s="1" t="s">
        <v>319</v>
      </c>
      <c r="E67" s="114">
        <v>19.3</v>
      </c>
      <c r="F67" s="110"/>
      <c r="G67" s="1"/>
      <c r="H67" s="1"/>
      <c r="I67" s="1"/>
      <c r="J67" s="224" t="s">
        <v>146</v>
      </c>
    </row>
    <row r="68" spans="1:10" x14ac:dyDescent="0.3">
      <c r="A68" s="2">
        <v>1</v>
      </c>
      <c r="B68" s="251" t="s">
        <v>413</v>
      </c>
      <c r="C68" s="232"/>
      <c r="D68" s="1" t="s">
        <v>325</v>
      </c>
      <c r="E68" s="114">
        <v>8.9</v>
      </c>
      <c r="F68" s="110">
        <v>2.65</v>
      </c>
      <c r="G68" s="1" t="s">
        <v>284</v>
      </c>
      <c r="H68" s="1"/>
      <c r="I68" s="1"/>
      <c r="J68" s="224" t="s">
        <v>146</v>
      </c>
    </row>
    <row r="69" spans="1:10" x14ac:dyDescent="0.3">
      <c r="A69" s="2"/>
      <c r="B69" s="251" t="s">
        <v>414</v>
      </c>
      <c r="C69" s="232"/>
      <c r="D69" s="1" t="s">
        <v>86</v>
      </c>
      <c r="E69" s="114">
        <v>515.1</v>
      </c>
      <c r="F69" s="110" t="s">
        <v>415</v>
      </c>
      <c r="G69" s="1" t="s">
        <v>284</v>
      </c>
      <c r="H69" s="1"/>
      <c r="I69" s="1"/>
      <c r="J69" s="224" t="s">
        <v>146</v>
      </c>
    </row>
    <row r="70" spans="1:10" x14ac:dyDescent="0.3">
      <c r="A70" s="2">
        <v>1</v>
      </c>
      <c r="B70" s="251" t="s">
        <v>416</v>
      </c>
      <c r="C70" s="232"/>
      <c r="D70" s="1" t="s">
        <v>86</v>
      </c>
      <c r="E70" s="114">
        <v>70.3</v>
      </c>
      <c r="F70" s="110" t="s">
        <v>417</v>
      </c>
      <c r="G70" s="1" t="s">
        <v>284</v>
      </c>
      <c r="H70" s="1"/>
      <c r="I70" s="1"/>
      <c r="J70" s="224" t="s">
        <v>146</v>
      </c>
    </row>
    <row r="71" spans="1:10" x14ac:dyDescent="0.3">
      <c r="A71" s="2">
        <v>1</v>
      </c>
      <c r="B71" s="251" t="s">
        <v>418</v>
      </c>
      <c r="C71" s="232"/>
      <c r="D71" s="1" t="s">
        <v>86</v>
      </c>
      <c r="E71" s="114">
        <v>35.200000000000003</v>
      </c>
      <c r="F71" s="110">
        <v>3.57</v>
      </c>
      <c r="G71" s="1" t="s">
        <v>284</v>
      </c>
      <c r="H71" s="1"/>
      <c r="I71" s="1"/>
      <c r="J71" s="224" t="s">
        <v>146</v>
      </c>
    </row>
    <row r="72" spans="1:10" x14ac:dyDescent="0.3">
      <c r="A72" s="2">
        <v>2</v>
      </c>
      <c r="B72" s="251" t="s">
        <v>419</v>
      </c>
      <c r="C72" s="232"/>
      <c r="D72" s="1" t="s">
        <v>86</v>
      </c>
      <c r="E72" s="114">
        <v>70.099999999999994</v>
      </c>
      <c r="F72" s="110" t="s">
        <v>420</v>
      </c>
      <c r="G72" s="1" t="s">
        <v>145</v>
      </c>
      <c r="H72" s="1"/>
      <c r="I72" s="1"/>
      <c r="J72" s="224" t="s">
        <v>146</v>
      </c>
    </row>
    <row r="73" spans="1:10" x14ac:dyDescent="0.3">
      <c r="A73" s="2">
        <v>2</v>
      </c>
      <c r="B73" s="251" t="s">
        <v>421</v>
      </c>
      <c r="C73" s="232"/>
      <c r="D73" s="1" t="s">
        <v>86</v>
      </c>
      <c r="E73" s="114">
        <v>72.8</v>
      </c>
      <c r="F73" s="110" t="s">
        <v>422</v>
      </c>
      <c r="G73" s="1" t="s">
        <v>145</v>
      </c>
      <c r="H73" s="1"/>
      <c r="I73" s="1"/>
      <c r="J73" s="224" t="s">
        <v>146</v>
      </c>
    </row>
    <row r="74" spans="1:10" x14ac:dyDescent="0.3">
      <c r="A74" s="2">
        <v>3</v>
      </c>
      <c r="B74" s="251" t="s">
        <v>423</v>
      </c>
      <c r="C74" s="232"/>
      <c r="D74" s="1" t="s">
        <v>86</v>
      </c>
      <c r="E74" s="114">
        <v>70.2</v>
      </c>
      <c r="F74" s="110">
        <v>3.31</v>
      </c>
      <c r="G74" s="1" t="s">
        <v>145</v>
      </c>
      <c r="H74" s="1"/>
      <c r="I74" s="1"/>
      <c r="J74" s="224" t="s">
        <v>146</v>
      </c>
    </row>
    <row r="75" spans="1:10" x14ac:dyDescent="0.3">
      <c r="A75" s="2">
        <v>3</v>
      </c>
      <c r="B75" s="251" t="s">
        <v>424</v>
      </c>
      <c r="C75" s="232"/>
      <c r="D75" s="1" t="s">
        <v>86</v>
      </c>
      <c r="E75" s="114">
        <v>35.4</v>
      </c>
      <c r="F75" s="110">
        <v>3.54</v>
      </c>
      <c r="G75" s="1" t="s">
        <v>145</v>
      </c>
      <c r="H75" s="1"/>
      <c r="I75" s="1"/>
      <c r="J75" s="224" t="s">
        <v>146</v>
      </c>
    </row>
    <row r="76" spans="1:10" x14ac:dyDescent="0.3">
      <c r="A76" s="2">
        <v>2</v>
      </c>
      <c r="B76" s="251" t="s">
        <v>425</v>
      </c>
      <c r="C76" s="232"/>
      <c r="D76" s="1" t="s">
        <v>325</v>
      </c>
      <c r="E76" s="114">
        <v>8.9</v>
      </c>
      <c r="F76" s="110">
        <v>2.66</v>
      </c>
      <c r="G76" s="1" t="s">
        <v>284</v>
      </c>
      <c r="H76" s="1"/>
      <c r="I76" s="1"/>
      <c r="J76" s="224" t="s">
        <v>146</v>
      </c>
    </row>
    <row r="77" spans="1:10" x14ac:dyDescent="0.3">
      <c r="A77" s="2">
        <v>3</v>
      </c>
      <c r="B77" s="251" t="s">
        <v>426</v>
      </c>
      <c r="C77" s="232"/>
      <c r="D77" s="1" t="s">
        <v>325</v>
      </c>
      <c r="E77" s="114">
        <v>8.6999999999999993</v>
      </c>
      <c r="F77" s="110">
        <v>2.66</v>
      </c>
      <c r="G77" s="1" t="s">
        <v>284</v>
      </c>
      <c r="H77" s="1"/>
      <c r="I77" s="1"/>
      <c r="J77" s="224" t="s">
        <v>146</v>
      </c>
    </row>
    <row r="78" spans="1:10" x14ac:dyDescent="0.3">
      <c r="A78" s="2">
        <v>2</v>
      </c>
      <c r="B78" s="251" t="s">
        <v>427</v>
      </c>
      <c r="C78" s="232"/>
      <c r="D78" s="1" t="s">
        <v>316</v>
      </c>
      <c r="E78" s="114">
        <v>140.30000000000001</v>
      </c>
      <c r="F78" s="110" t="s">
        <v>428</v>
      </c>
      <c r="G78" s="1" t="s">
        <v>298</v>
      </c>
      <c r="H78" s="1"/>
      <c r="I78" s="1" t="s">
        <v>208</v>
      </c>
      <c r="J78" s="224" t="s">
        <v>146</v>
      </c>
    </row>
    <row r="79" spans="1:10" x14ac:dyDescent="0.3">
      <c r="A79" s="252"/>
      <c r="B79" s="251" t="s">
        <v>429</v>
      </c>
      <c r="C79" s="232" t="s">
        <v>430</v>
      </c>
      <c r="D79" s="1" t="s">
        <v>316</v>
      </c>
      <c r="E79" s="114">
        <v>99.9</v>
      </c>
      <c r="F79" s="110" t="s">
        <v>431</v>
      </c>
      <c r="G79" s="1" t="s">
        <v>298</v>
      </c>
      <c r="H79" s="1"/>
      <c r="I79" s="1" t="s">
        <v>208</v>
      </c>
      <c r="J79" s="224" t="s">
        <v>146</v>
      </c>
    </row>
    <row r="80" spans="1:10" x14ac:dyDescent="0.3">
      <c r="A80" s="2">
        <v>3</v>
      </c>
      <c r="B80" s="251" t="s">
        <v>432</v>
      </c>
      <c r="C80" s="232"/>
      <c r="D80" s="1" t="s">
        <v>316</v>
      </c>
      <c r="E80" s="114">
        <v>100.5</v>
      </c>
      <c r="F80" s="110" t="s">
        <v>433</v>
      </c>
      <c r="G80" s="1" t="s">
        <v>298</v>
      </c>
      <c r="H80" s="1"/>
      <c r="I80" s="1" t="s">
        <v>208</v>
      </c>
      <c r="J80" s="224" t="s">
        <v>146</v>
      </c>
    </row>
    <row r="81" spans="1:10" ht="15" thickBot="1" x14ac:dyDescent="0.35">
      <c r="A81" s="253">
        <v>1</v>
      </c>
      <c r="B81" s="254" t="s">
        <v>434</v>
      </c>
      <c r="C81" s="255" t="s">
        <v>435</v>
      </c>
      <c r="D81" s="125" t="s">
        <v>316</v>
      </c>
      <c r="E81" s="124">
        <v>53.6</v>
      </c>
      <c r="F81" s="256">
        <v>3.3</v>
      </c>
      <c r="G81" s="125" t="s">
        <v>145</v>
      </c>
      <c r="H81" s="125"/>
      <c r="I81" s="125"/>
      <c r="J81" s="224" t="s">
        <v>146</v>
      </c>
    </row>
    <row r="82" spans="1:10" ht="15.6" thickTop="1" thickBot="1" x14ac:dyDescent="0.35">
      <c r="A82" s="337" t="s">
        <v>123</v>
      </c>
      <c r="B82" s="337"/>
      <c r="C82" s="234"/>
      <c r="D82" s="127"/>
      <c r="E82" s="128">
        <f>SUM(E3:E81)</f>
        <v>2740.9</v>
      </c>
      <c r="F82" s="129"/>
      <c r="G82" s="127"/>
      <c r="H82" s="127"/>
      <c r="I82" s="127"/>
      <c r="J82" s="127"/>
    </row>
    <row r="83" spans="1:10" ht="15" thickTop="1" x14ac:dyDescent="0.3"/>
  </sheetData>
  <autoFilter ref="A2:J2" xr:uid="{00000000-0001-0000-0600-000000000000}"/>
  <mergeCells count="2">
    <mergeCell ref="A1:I1"/>
    <mergeCell ref="A82:B8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6"/>
  <sheetViews>
    <sheetView workbookViewId="0">
      <selection activeCell="J28" sqref="J28"/>
    </sheetView>
  </sheetViews>
  <sheetFormatPr defaultRowHeight="14.4" x14ac:dyDescent="0.3"/>
  <cols>
    <col min="1" max="1" width="7.77734375" bestFit="1" customWidth="1"/>
    <col min="2" max="2" width="10.5546875" style="99" bestFit="1" customWidth="1"/>
    <col min="3" max="3" width="7.44140625" style="235" bestFit="1" customWidth="1"/>
    <col min="4" max="4" width="16.21875" style="4" bestFit="1" customWidth="1"/>
    <col min="5" max="5" width="11.5546875" style="236" bestFit="1" customWidth="1"/>
    <col min="6" max="6" width="11" style="237" bestFit="1" customWidth="1"/>
    <col min="7" max="7" width="15.21875" style="4" bestFit="1" customWidth="1"/>
    <col min="8" max="8" width="11.44140625" style="4" bestFit="1" customWidth="1"/>
    <col min="9" max="9" width="13.44140625" style="4" bestFit="1" customWidth="1"/>
    <col min="10" max="10" width="12.77734375" customWidth="1"/>
    <col min="12" max="12" width="21.77734375" bestFit="1" customWidth="1"/>
    <col min="13" max="13" width="19.44140625" bestFit="1" customWidth="1"/>
  </cols>
  <sheetData>
    <row r="1" spans="1:14" s="222" customFormat="1" ht="18.600000000000001" thickTop="1" thickBot="1" x14ac:dyDescent="0.35">
      <c r="A1" s="334" t="s">
        <v>436</v>
      </c>
      <c r="B1" s="335"/>
      <c r="C1" s="335"/>
      <c r="D1" s="335"/>
      <c r="E1" s="335"/>
      <c r="F1" s="335"/>
      <c r="G1" s="335"/>
      <c r="H1" s="335"/>
      <c r="I1" s="336"/>
      <c r="J1" s="321"/>
      <c r="K1" s="38"/>
      <c r="L1" s="89" t="s">
        <v>68</v>
      </c>
      <c r="M1" t="s">
        <v>69</v>
      </c>
      <c r="N1"/>
    </row>
    <row r="2" spans="1:14" s="222" customFormat="1" ht="44.4" thickTop="1" thickBot="1" x14ac:dyDescent="0.35">
      <c r="A2" s="127" t="s">
        <v>282</v>
      </c>
      <c r="B2" s="81" t="s">
        <v>70</v>
      </c>
      <c r="C2" s="223" t="s">
        <v>71</v>
      </c>
      <c r="D2" s="81" t="s">
        <v>72</v>
      </c>
      <c r="E2" s="105" t="s">
        <v>73</v>
      </c>
      <c r="F2" s="83" t="s">
        <v>74</v>
      </c>
      <c r="G2" s="81" t="s">
        <v>75</v>
      </c>
      <c r="H2" s="81" t="s">
        <v>76</v>
      </c>
      <c r="I2" s="85" t="s">
        <v>77</v>
      </c>
      <c r="J2" s="243" t="s">
        <v>125</v>
      </c>
      <c r="K2" s="38"/>
      <c r="L2" s="90">
        <v>0</v>
      </c>
      <c r="M2">
        <v>7</v>
      </c>
      <c r="N2"/>
    </row>
    <row r="3" spans="1:14" ht="15" thickTop="1" x14ac:dyDescent="0.3">
      <c r="A3" s="249">
        <v>1</v>
      </c>
      <c r="B3" s="250" t="s">
        <v>437</v>
      </c>
      <c r="C3" s="250"/>
      <c r="D3" s="108" t="s">
        <v>176</v>
      </c>
      <c r="E3" s="109">
        <v>8.6999999999999993</v>
      </c>
      <c r="F3" s="229">
        <v>3.31</v>
      </c>
      <c r="G3" s="108" t="s">
        <v>284</v>
      </c>
      <c r="H3" s="108" t="s">
        <v>90</v>
      </c>
      <c r="I3" s="108"/>
      <c r="J3" s="224" t="s">
        <v>146</v>
      </c>
      <c r="L3" s="99" t="s">
        <v>194</v>
      </c>
      <c r="M3">
        <v>7</v>
      </c>
    </row>
    <row r="4" spans="1:14" x14ac:dyDescent="0.3">
      <c r="A4" s="2">
        <v>1</v>
      </c>
      <c r="B4" s="232" t="s">
        <v>438</v>
      </c>
      <c r="C4" s="232"/>
      <c r="D4" s="1" t="s">
        <v>194</v>
      </c>
      <c r="E4" s="114">
        <v>2.2999999999999998</v>
      </c>
      <c r="F4" s="110">
        <v>3.31</v>
      </c>
      <c r="G4" s="1" t="s">
        <v>284</v>
      </c>
      <c r="H4" s="1"/>
      <c r="I4" s="1"/>
      <c r="J4" s="224">
        <v>0</v>
      </c>
      <c r="L4" s="90">
        <v>2</v>
      </c>
      <c r="M4">
        <v>35.1</v>
      </c>
    </row>
    <row r="5" spans="1:14" x14ac:dyDescent="0.3">
      <c r="A5" s="2">
        <v>1</v>
      </c>
      <c r="B5" s="232" t="s">
        <v>439</v>
      </c>
      <c r="C5" s="232"/>
      <c r="D5" s="1" t="s">
        <v>176</v>
      </c>
      <c r="E5" s="114">
        <v>8.6</v>
      </c>
      <c r="F5" s="110" t="s">
        <v>440</v>
      </c>
      <c r="G5" s="1" t="s">
        <v>284</v>
      </c>
      <c r="H5" s="1" t="s">
        <v>90</v>
      </c>
      <c r="I5" s="1"/>
      <c r="J5" s="224" t="s">
        <v>146</v>
      </c>
      <c r="L5" s="99" t="s">
        <v>322</v>
      </c>
      <c r="M5">
        <v>35.1</v>
      </c>
    </row>
    <row r="6" spans="1:14" x14ac:dyDescent="0.3">
      <c r="A6" s="2">
        <v>1</v>
      </c>
      <c r="B6" s="232" t="s">
        <v>441</v>
      </c>
      <c r="C6" s="232" t="s">
        <v>442</v>
      </c>
      <c r="D6" s="1" t="s">
        <v>181</v>
      </c>
      <c r="E6" s="114">
        <v>21.1</v>
      </c>
      <c r="F6" s="110">
        <v>3.35</v>
      </c>
      <c r="G6" s="1" t="s">
        <v>145</v>
      </c>
      <c r="H6" s="1"/>
      <c r="I6" s="1"/>
      <c r="J6" s="224" t="s">
        <v>127</v>
      </c>
      <c r="L6" s="90">
        <v>3</v>
      </c>
      <c r="M6">
        <v>793.50000000000023</v>
      </c>
    </row>
    <row r="7" spans="1:14" x14ac:dyDescent="0.3">
      <c r="A7" s="2">
        <v>1</v>
      </c>
      <c r="B7" s="232" t="s">
        <v>443</v>
      </c>
      <c r="C7" s="232" t="s">
        <v>444</v>
      </c>
      <c r="D7" s="1" t="s">
        <v>181</v>
      </c>
      <c r="E7" s="114">
        <v>10.6</v>
      </c>
      <c r="F7" s="110">
        <v>3.35</v>
      </c>
      <c r="G7" s="1" t="s">
        <v>298</v>
      </c>
      <c r="H7" s="1"/>
      <c r="I7" s="1"/>
      <c r="J7" s="224" t="s">
        <v>127</v>
      </c>
      <c r="L7" s="99" t="s">
        <v>181</v>
      </c>
      <c r="M7">
        <v>456.30000000000013</v>
      </c>
    </row>
    <row r="8" spans="1:14" x14ac:dyDescent="0.3">
      <c r="A8" s="2">
        <v>1</v>
      </c>
      <c r="B8" s="232" t="s">
        <v>445</v>
      </c>
      <c r="C8" s="232" t="s">
        <v>446</v>
      </c>
      <c r="D8" s="1" t="s">
        <v>181</v>
      </c>
      <c r="E8" s="114">
        <v>11.2</v>
      </c>
      <c r="F8" s="110">
        <v>3.35</v>
      </c>
      <c r="G8" s="1" t="s">
        <v>298</v>
      </c>
      <c r="H8" s="1"/>
      <c r="I8" s="1"/>
      <c r="J8" s="224" t="s">
        <v>127</v>
      </c>
      <c r="L8" s="99" t="s">
        <v>322</v>
      </c>
      <c r="M8">
        <v>33.799999999999997</v>
      </c>
    </row>
    <row r="9" spans="1:14" x14ac:dyDescent="0.3">
      <c r="A9" s="2">
        <v>1</v>
      </c>
      <c r="B9" s="232" t="s">
        <v>447</v>
      </c>
      <c r="C9" s="232" t="s">
        <v>448</v>
      </c>
      <c r="D9" s="1" t="s">
        <v>181</v>
      </c>
      <c r="E9" s="114">
        <v>21.7</v>
      </c>
      <c r="F9" s="110">
        <v>3.35</v>
      </c>
      <c r="G9" s="1" t="s">
        <v>145</v>
      </c>
      <c r="H9" s="1"/>
      <c r="I9" s="1"/>
      <c r="J9" s="224" t="s">
        <v>127</v>
      </c>
      <c r="L9" s="99" t="s">
        <v>183</v>
      </c>
      <c r="M9">
        <v>303.40000000000003</v>
      </c>
    </row>
    <row r="10" spans="1:14" x14ac:dyDescent="0.3">
      <c r="A10" s="2">
        <v>1</v>
      </c>
      <c r="B10" s="232" t="s">
        <v>449</v>
      </c>
      <c r="C10" s="232" t="s">
        <v>450</v>
      </c>
      <c r="D10" s="1" t="s">
        <v>181</v>
      </c>
      <c r="E10" s="114">
        <v>10.7</v>
      </c>
      <c r="F10" s="110">
        <v>3.35</v>
      </c>
      <c r="G10" s="1" t="s">
        <v>145</v>
      </c>
      <c r="H10" s="1"/>
      <c r="I10" s="1"/>
      <c r="J10" s="224" t="s">
        <v>127</v>
      </c>
      <c r="L10" s="90">
        <v>5</v>
      </c>
      <c r="M10">
        <v>662.80000000000007</v>
      </c>
    </row>
    <row r="11" spans="1:14" x14ac:dyDescent="0.3">
      <c r="A11" s="2">
        <v>1</v>
      </c>
      <c r="B11" s="232" t="s">
        <v>451</v>
      </c>
      <c r="C11" s="232" t="s">
        <v>452</v>
      </c>
      <c r="D11" s="1" t="s">
        <v>181</v>
      </c>
      <c r="E11" s="114">
        <v>10.5</v>
      </c>
      <c r="F11" s="110">
        <v>3.35</v>
      </c>
      <c r="G11" s="1" t="s">
        <v>145</v>
      </c>
      <c r="H11" s="1"/>
      <c r="I11" s="1"/>
      <c r="J11" s="224" t="s">
        <v>127</v>
      </c>
      <c r="L11" s="99" t="s">
        <v>86</v>
      </c>
      <c r="M11">
        <v>325.20000000000005</v>
      </c>
    </row>
    <row r="12" spans="1:14" x14ac:dyDescent="0.3">
      <c r="A12" s="2">
        <v>1</v>
      </c>
      <c r="B12" s="232" t="s">
        <v>453</v>
      </c>
      <c r="C12" s="232" t="s">
        <v>454</v>
      </c>
      <c r="D12" s="1" t="s">
        <v>181</v>
      </c>
      <c r="E12" s="114">
        <v>10.8</v>
      </c>
      <c r="F12" s="110">
        <v>3.35</v>
      </c>
      <c r="G12" s="1" t="s">
        <v>145</v>
      </c>
      <c r="H12" s="1"/>
      <c r="I12" s="1"/>
      <c r="J12" s="224" t="s">
        <v>127</v>
      </c>
      <c r="L12" s="99" t="s">
        <v>455</v>
      </c>
      <c r="M12">
        <v>107.4</v>
      </c>
    </row>
    <row r="13" spans="1:14" x14ac:dyDescent="0.3">
      <c r="A13" s="2">
        <v>1</v>
      </c>
      <c r="B13" s="232" t="s">
        <v>456</v>
      </c>
      <c r="C13" s="232" t="s">
        <v>457</v>
      </c>
      <c r="D13" s="1" t="s">
        <v>181</v>
      </c>
      <c r="E13" s="114">
        <v>10.1</v>
      </c>
      <c r="F13" s="110">
        <v>3.35</v>
      </c>
      <c r="G13" s="1" t="s">
        <v>145</v>
      </c>
      <c r="H13" s="1"/>
      <c r="I13" s="1"/>
      <c r="J13" s="224" t="s">
        <v>127</v>
      </c>
      <c r="L13" s="99" t="s">
        <v>319</v>
      </c>
      <c r="M13">
        <v>58</v>
      </c>
    </row>
    <row r="14" spans="1:14" x14ac:dyDescent="0.3">
      <c r="A14" s="2">
        <v>1</v>
      </c>
      <c r="B14" s="232" t="s">
        <v>458</v>
      </c>
      <c r="C14" s="232" t="s">
        <v>459</v>
      </c>
      <c r="D14" s="1" t="s">
        <v>322</v>
      </c>
      <c r="E14" s="114">
        <v>33.799999999999997</v>
      </c>
      <c r="F14" s="110">
        <v>3.36</v>
      </c>
      <c r="G14" s="1" t="s">
        <v>145</v>
      </c>
      <c r="H14" s="1"/>
      <c r="I14" s="1"/>
      <c r="J14" s="224" t="s">
        <v>127</v>
      </c>
      <c r="L14" s="99" t="s">
        <v>191</v>
      </c>
      <c r="M14">
        <v>120.7</v>
      </c>
    </row>
    <row r="15" spans="1:14" x14ac:dyDescent="0.3">
      <c r="A15" s="2">
        <v>1</v>
      </c>
      <c r="B15" s="232" t="s">
        <v>460</v>
      </c>
      <c r="C15" s="232" t="s">
        <v>461</v>
      </c>
      <c r="D15" s="1" t="s">
        <v>181</v>
      </c>
      <c r="E15" s="114">
        <v>16.600000000000001</v>
      </c>
      <c r="F15" s="110">
        <v>3.36</v>
      </c>
      <c r="G15" s="1" t="s">
        <v>145</v>
      </c>
      <c r="H15" s="1"/>
      <c r="I15" s="1"/>
      <c r="J15" s="224" t="s">
        <v>127</v>
      </c>
      <c r="L15" s="99" t="s">
        <v>176</v>
      </c>
      <c r="M15">
        <v>51.5</v>
      </c>
    </row>
    <row r="16" spans="1:14" x14ac:dyDescent="0.3">
      <c r="A16" s="2">
        <v>1</v>
      </c>
      <c r="B16" s="232" t="s">
        <v>462</v>
      </c>
      <c r="C16" s="232" t="s">
        <v>463</v>
      </c>
      <c r="D16" s="1" t="s">
        <v>181</v>
      </c>
      <c r="E16" s="114">
        <v>18</v>
      </c>
      <c r="F16" s="110">
        <v>3.36</v>
      </c>
      <c r="G16" s="1" t="s">
        <v>145</v>
      </c>
      <c r="H16" s="1"/>
      <c r="I16" s="1"/>
      <c r="J16" s="224" t="s">
        <v>127</v>
      </c>
      <c r="L16" s="90" t="s">
        <v>122</v>
      </c>
      <c r="M16">
        <v>1498.4000000000003</v>
      </c>
    </row>
    <row r="17" spans="1:10" x14ac:dyDescent="0.3">
      <c r="A17" s="2">
        <v>1</v>
      </c>
      <c r="B17" s="232" t="s">
        <v>464</v>
      </c>
      <c r="C17" s="232" t="s">
        <v>465</v>
      </c>
      <c r="D17" s="1" t="s">
        <v>191</v>
      </c>
      <c r="E17" s="114">
        <v>34.1</v>
      </c>
      <c r="F17" s="110">
        <v>3.37</v>
      </c>
      <c r="G17" s="1" t="s">
        <v>145</v>
      </c>
      <c r="H17" s="1"/>
      <c r="I17" s="1"/>
      <c r="J17" s="224" t="s">
        <v>146</v>
      </c>
    </row>
    <row r="18" spans="1:10" x14ac:dyDescent="0.3">
      <c r="A18" s="2">
        <v>1</v>
      </c>
      <c r="B18" s="232" t="s">
        <v>466</v>
      </c>
      <c r="C18" s="232" t="s">
        <v>467</v>
      </c>
      <c r="D18" s="1" t="s">
        <v>181</v>
      </c>
      <c r="E18" s="114">
        <v>17.399999999999999</v>
      </c>
      <c r="F18" s="110">
        <v>3.36</v>
      </c>
      <c r="G18" s="1" t="s">
        <v>145</v>
      </c>
      <c r="H18" s="1"/>
      <c r="I18" s="1"/>
      <c r="J18" s="224" t="s">
        <v>127</v>
      </c>
    </row>
    <row r="19" spans="1:10" x14ac:dyDescent="0.3">
      <c r="A19" s="2">
        <v>1</v>
      </c>
      <c r="B19" s="232" t="s">
        <v>468</v>
      </c>
      <c r="C19" s="232" t="s">
        <v>469</v>
      </c>
      <c r="D19" s="1" t="s">
        <v>181</v>
      </c>
      <c r="E19" s="114">
        <v>16.5</v>
      </c>
      <c r="F19" s="110">
        <v>3.36</v>
      </c>
      <c r="G19" s="1" t="s">
        <v>145</v>
      </c>
      <c r="H19" s="1"/>
      <c r="I19" s="1"/>
      <c r="J19" s="224" t="s">
        <v>127</v>
      </c>
    </row>
    <row r="20" spans="1:10" x14ac:dyDescent="0.3">
      <c r="A20" s="2">
        <v>1</v>
      </c>
      <c r="B20" s="232" t="s">
        <v>470</v>
      </c>
      <c r="C20" s="232" t="s">
        <v>471</v>
      </c>
      <c r="D20" s="1" t="s">
        <v>191</v>
      </c>
      <c r="E20" s="114">
        <v>34.1</v>
      </c>
      <c r="F20" s="110">
        <v>3.36</v>
      </c>
      <c r="G20" s="1" t="s">
        <v>145</v>
      </c>
      <c r="H20" s="1"/>
      <c r="I20" s="1"/>
      <c r="J20" s="224" t="s">
        <v>146</v>
      </c>
    </row>
    <row r="21" spans="1:10" x14ac:dyDescent="0.3">
      <c r="A21" s="2">
        <v>1</v>
      </c>
      <c r="B21" s="232" t="s">
        <v>472</v>
      </c>
      <c r="C21" s="232" t="s">
        <v>473</v>
      </c>
      <c r="D21" s="1" t="s">
        <v>181</v>
      </c>
      <c r="E21" s="114">
        <v>16.600000000000001</v>
      </c>
      <c r="F21" s="110">
        <v>3.36</v>
      </c>
      <c r="G21" s="1" t="s">
        <v>145</v>
      </c>
      <c r="H21" s="1"/>
      <c r="I21" s="1"/>
      <c r="J21" s="224" t="s">
        <v>127</v>
      </c>
    </row>
    <row r="22" spans="1:10" x14ac:dyDescent="0.3">
      <c r="A22" s="2">
        <v>1</v>
      </c>
      <c r="B22" s="232" t="s">
        <v>474</v>
      </c>
      <c r="C22" s="232" t="s">
        <v>475</v>
      </c>
      <c r="D22" s="1" t="s">
        <v>191</v>
      </c>
      <c r="E22" s="114">
        <v>52.5</v>
      </c>
      <c r="F22" s="110">
        <v>3.35</v>
      </c>
      <c r="G22" s="1" t="s">
        <v>145</v>
      </c>
      <c r="H22" s="1"/>
      <c r="I22" s="1"/>
      <c r="J22" s="224" t="s">
        <v>146</v>
      </c>
    </row>
    <row r="23" spans="1:10" x14ac:dyDescent="0.3">
      <c r="A23" s="2">
        <v>1</v>
      </c>
      <c r="B23" s="232" t="s">
        <v>476</v>
      </c>
      <c r="C23" s="232"/>
      <c r="D23" s="1" t="s">
        <v>319</v>
      </c>
      <c r="E23" s="114">
        <v>19.3</v>
      </c>
      <c r="F23" s="110">
        <v>3.29</v>
      </c>
      <c r="G23" s="1" t="s">
        <v>145</v>
      </c>
      <c r="H23" s="1"/>
      <c r="I23" s="1"/>
      <c r="J23" s="224" t="s">
        <v>146</v>
      </c>
    </row>
    <row r="24" spans="1:10" x14ac:dyDescent="0.3">
      <c r="A24" s="2">
        <v>1</v>
      </c>
      <c r="B24" s="232" t="s">
        <v>477</v>
      </c>
      <c r="C24" s="232"/>
      <c r="D24" s="1" t="s">
        <v>86</v>
      </c>
      <c r="E24" s="114">
        <v>108.4</v>
      </c>
      <c r="F24" s="110" t="s">
        <v>417</v>
      </c>
      <c r="G24" s="1" t="s">
        <v>145</v>
      </c>
      <c r="H24" s="1"/>
      <c r="I24" s="1"/>
      <c r="J24" s="224" t="s">
        <v>146</v>
      </c>
    </row>
    <row r="25" spans="1:10" x14ac:dyDescent="0.3">
      <c r="A25" s="2">
        <v>2</v>
      </c>
      <c r="B25" s="232" t="s">
        <v>478</v>
      </c>
      <c r="C25" s="232"/>
      <c r="D25" s="1" t="s">
        <v>176</v>
      </c>
      <c r="E25" s="114">
        <v>8.6</v>
      </c>
      <c r="F25" s="110">
        <v>3.32</v>
      </c>
      <c r="G25" s="1" t="s">
        <v>284</v>
      </c>
      <c r="H25" s="1" t="s">
        <v>479</v>
      </c>
      <c r="I25" s="1"/>
      <c r="J25" s="224" t="s">
        <v>146</v>
      </c>
    </row>
    <row r="26" spans="1:10" x14ac:dyDescent="0.3">
      <c r="A26" s="2">
        <v>2</v>
      </c>
      <c r="B26" s="232" t="s">
        <v>480</v>
      </c>
      <c r="C26" s="232"/>
      <c r="D26" s="1" t="s">
        <v>194</v>
      </c>
      <c r="E26" s="114">
        <v>2.2999999999999998</v>
      </c>
      <c r="F26" s="110">
        <v>3.32</v>
      </c>
      <c r="G26" s="1" t="s">
        <v>284</v>
      </c>
      <c r="H26" s="1"/>
      <c r="I26" s="1"/>
      <c r="J26" s="224">
        <v>0</v>
      </c>
    </row>
    <row r="27" spans="1:10" x14ac:dyDescent="0.3">
      <c r="A27" s="2">
        <v>2</v>
      </c>
      <c r="B27" s="232" t="s">
        <v>481</v>
      </c>
      <c r="C27" s="232"/>
      <c r="D27" s="1" t="s">
        <v>176</v>
      </c>
      <c r="E27" s="114">
        <v>8.6</v>
      </c>
      <c r="F27" s="110">
        <v>3.31</v>
      </c>
      <c r="G27" s="1" t="s">
        <v>284</v>
      </c>
      <c r="H27" s="1" t="s">
        <v>479</v>
      </c>
      <c r="I27" s="1"/>
      <c r="J27" s="224" t="s">
        <v>146</v>
      </c>
    </row>
    <row r="28" spans="1:10" x14ac:dyDescent="0.3">
      <c r="A28" s="2">
        <v>2</v>
      </c>
      <c r="B28" s="232" t="s">
        <v>482</v>
      </c>
      <c r="C28" s="232" t="s">
        <v>483</v>
      </c>
      <c r="D28" s="1" t="s">
        <v>181</v>
      </c>
      <c r="E28" s="114">
        <v>21.2</v>
      </c>
      <c r="F28" s="110">
        <v>3.33</v>
      </c>
      <c r="G28" s="1" t="s">
        <v>298</v>
      </c>
      <c r="H28" s="1"/>
      <c r="I28" s="1"/>
      <c r="J28" s="224" t="s">
        <v>127</v>
      </c>
    </row>
    <row r="29" spans="1:10" x14ac:dyDescent="0.3">
      <c r="A29" s="2">
        <v>2</v>
      </c>
      <c r="B29" s="232" t="s">
        <v>484</v>
      </c>
      <c r="C29" s="232" t="s">
        <v>485</v>
      </c>
      <c r="D29" s="1" t="s">
        <v>181</v>
      </c>
      <c r="E29" s="114">
        <v>10.6</v>
      </c>
      <c r="F29" s="110">
        <v>3.33</v>
      </c>
      <c r="G29" s="1" t="s">
        <v>298</v>
      </c>
      <c r="H29" s="1"/>
      <c r="I29" s="1"/>
      <c r="J29" s="224" t="s">
        <v>127</v>
      </c>
    </row>
    <row r="30" spans="1:10" x14ac:dyDescent="0.3">
      <c r="A30" s="2">
        <v>2</v>
      </c>
      <c r="B30" s="232" t="s">
        <v>486</v>
      </c>
      <c r="C30" s="232" t="s">
        <v>487</v>
      </c>
      <c r="D30" s="1" t="s">
        <v>181</v>
      </c>
      <c r="E30" s="114">
        <v>10.8</v>
      </c>
      <c r="F30" s="110">
        <v>3.31</v>
      </c>
      <c r="G30" s="1" t="s">
        <v>145</v>
      </c>
      <c r="H30" s="1"/>
      <c r="I30" s="1"/>
      <c r="J30" s="224" t="s">
        <v>127</v>
      </c>
    </row>
    <row r="31" spans="1:10" x14ac:dyDescent="0.3">
      <c r="A31" s="2">
        <v>2</v>
      </c>
      <c r="B31" s="232" t="s">
        <v>488</v>
      </c>
      <c r="C31" s="232" t="s">
        <v>489</v>
      </c>
      <c r="D31" s="1" t="s">
        <v>181</v>
      </c>
      <c r="E31" s="114">
        <v>11.1</v>
      </c>
      <c r="F31" s="110">
        <v>3.33</v>
      </c>
      <c r="G31" s="1" t="s">
        <v>145</v>
      </c>
      <c r="H31" s="1"/>
      <c r="I31" s="1"/>
      <c r="J31" s="224" t="s">
        <v>127</v>
      </c>
    </row>
    <row r="32" spans="1:10" x14ac:dyDescent="0.3">
      <c r="A32" s="2">
        <v>2</v>
      </c>
      <c r="B32" s="232" t="s">
        <v>490</v>
      </c>
      <c r="C32" s="232"/>
      <c r="D32" s="1" t="s">
        <v>181</v>
      </c>
      <c r="E32" s="114">
        <v>10.5</v>
      </c>
      <c r="F32" s="110">
        <v>3.33</v>
      </c>
      <c r="G32" s="1" t="s">
        <v>145</v>
      </c>
      <c r="H32" s="1"/>
      <c r="I32" s="1"/>
      <c r="J32" s="224" t="s">
        <v>127</v>
      </c>
    </row>
    <row r="33" spans="1:10" x14ac:dyDescent="0.3">
      <c r="A33" s="2">
        <v>2</v>
      </c>
      <c r="B33" s="232" t="s">
        <v>491</v>
      </c>
      <c r="C33" s="232" t="s">
        <v>492</v>
      </c>
      <c r="D33" s="1" t="s">
        <v>181</v>
      </c>
      <c r="E33" s="114">
        <v>10.5</v>
      </c>
      <c r="F33" s="110">
        <v>3.33</v>
      </c>
      <c r="G33" s="1" t="s">
        <v>298</v>
      </c>
      <c r="H33" s="1"/>
      <c r="I33" s="1"/>
      <c r="J33" s="224" t="s">
        <v>127</v>
      </c>
    </row>
    <row r="34" spans="1:10" x14ac:dyDescent="0.3">
      <c r="A34" s="2">
        <v>2</v>
      </c>
      <c r="B34" s="232" t="s">
        <v>493</v>
      </c>
      <c r="C34" s="232"/>
      <c r="D34" s="1" t="s">
        <v>181</v>
      </c>
      <c r="E34" s="114">
        <v>10.7</v>
      </c>
      <c r="F34" s="110">
        <v>3.33</v>
      </c>
      <c r="G34" s="1" t="s">
        <v>298</v>
      </c>
      <c r="H34" s="1"/>
      <c r="I34" s="1"/>
      <c r="J34" s="224" t="s">
        <v>127</v>
      </c>
    </row>
    <row r="35" spans="1:10" x14ac:dyDescent="0.3">
      <c r="A35" s="2">
        <v>2</v>
      </c>
      <c r="B35" s="232" t="s">
        <v>494</v>
      </c>
      <c r="C35" s="232" t="s">
        <v>495</v>
      </c>
      <c r="D35" s="1" t="s">
        <v>181</v>
      </c>
      <c r="E35" s="114">
        <v>21.1</v>
      </c>
      <c r="F35" s="110">
        <v>3.32</v>
      </c>
      <c r="G35" s="1" t="s">
        <v>298</v>
      </c>
      <c r="H35" s="1"/>
      <c r="I35" s="1"/>
      <c r="J35" s="224" t="s">
        <v>127</v>
      </c>
    </row>
    <row r="36" spans="1:10" x14ac:dyDescent="0.3">
      <c r="A36" s="2">
        <v>2</v>
      </c>
      <c r="B36" s="232" t="s">
        <v>496</v>
      </c>
      <c r="C36" s="232" t="s">
        <v>452</v>
      </c>
      <c r="D36" s="1" t="s">
        <v>322</v>
      </c>
      <c r="E36" s="114">
        <v>35.1</v>
      </c>
      <c r="F36" s="110">
        <v>3.3</v>
      </c>
      <c r="G36" s="1" t="s">
        <v>298</v>
      </c>
      <c r="H36" s="1"/>
      <c r="I36" s="1"/>
      <c r="J36" s="224" t="s">
        <v>497</v>
      </c>
    </row>
    <row r="37" spans="1:10" x14ac:dyDescent="0.3">
      <c r="A37" s="2">
        <v>2</v>
      </c>
      <c r="B37" s="232" t="s">
        <v>498</v>
      </c>
      <c r="C37" s="232"/>
      <c r="D37" s="1" t="s">
        <v>183</v>
      </c>
      <c r="E37" s="114">
        <v>72.8</v>
      </c>
      <c r="F37" s="110">
        <v>3.31</v>
      </c>
      <c r="G37" s="1" t="s">
        <v>145</v>
      </c>
      <c r="H37" s="1"/>
      <c r="I37" s="1"/>
      <c r="J37" s="257" t="s">
        <v>127</v>
      </c>
    </row>
    <row r="38" spans="1:10" x14ac:dyDescent="0.3">
      <c r="A38" s="2">
        <v>2</v>
      </c>
      <c r="B38" s="232" t="s">
        <v>499</v>
      </c>
      <c r="C38" s="232" t="s">
        <v>500</v>
      </c>
      <c r="D38" s="1" t="s">
        <v>183</v>
      </c>
      <c r="E38" s="114">
        <v>71.5</v>
      </c>
      <c r="F38" s="110">
        <v>3.3</v>
      </c>
      <c r="G38" s="1" t="s">
        <v>145</v>
      </c>
      <c r="H38" s="1"/>
      <c r="I38" s="1"/>
      <c r="J38" s="257" t="s">
        <v>127</v>
      </c>
    </row>
    <row r="39" spans="1:10" x14ac:dyDescent="0.3">
      <c r="A39" s="2">
        <v>2</v>
      </c>
      <c r="B39" s="232" t="s">
        <v>501</v>
      </c>
      <c r="C39" s="232" t="s">
        <v>502</v>
      </c>
      <c r="D39" s="1" t="s">
        <v>181</v>
      </c>
      <c r="E39" s="114">
        <v>18.3</v>
      </c>
      <c r="F39" s="110">
        <v>3.33</v>
      </c>
      <c r="G39" s="1" t="s">
        <v>145</v>
      </c>
      <c r="H39" s="1"/>
      <c r="I39" s="1"/>
      <c r="J39" s="224" t="s">
        <v>127</v>
      </c>
    </row>
    <row r="40" spans="1:10" x14ac:dyDescent="0.3">
      <c r="A40" s="2">
        <v>2</v>
      </c>
      <c r="B40" s="232" t="s">
        <v>503</v>
      </c>
      <c r="C40" s="232" t="s">
        <v>504</v>
      </c>
      <c r="D40" s="1" t="s">
        <v>181</v>
      </c>
      <c r="E40" s="114">
        <v>16.3</v>
      </c>
      <c r="F40" s="110">
        <v>3.32</v>
      </c>
      <c r="G40" s="1" t="s">
        <v>145</v>
      </c>
      <c r="H40" s="1"/>
      <c r="I40" s="1"/>
      <c r="J40" s="224" t="s">
        <v>127</v>
      </c>
    </row>
    <row r="41" spans="1:10" x14ac:dyDescent="0.3">
      <c r="A41" s="2">
        <v>2</v>
      </c>
      <c r="B41" s="232" t="s">
        <v>505</v>
      </c>
      <c r="C41" s="232" t="s">
        <v>506</v>
      </c>
      <c r="D41" s="1" t="s">
        <v>181</v>
      </c>
      <c r="E41" s="114">
        <v>17.3</v>
      </c>
      <c r="F41" s="110">
        <v>3.33</v>
      </c>
      <c r="G41" s="1" t="s">
        <v>145</v>
      </c>
      <c r="H41" s="1"/>
      <c r="I41" s="1"/>
      <c r="J41" s="224" t="s">
        <v>127</v>
      </c>
    </row>
    <row r="42" spans="1:10" x14ac:dyDescent="0.3">
      <c r="A42" s="2">
        <v>2</v>
      </c>
      <c r="B42" s="232" t="s">
        <v>507</v>
      </c>
      <c r="C42" s="232" t="s">
        <v>508</v>
      </c>
      <c r="D42" s="1" t="s">
        <v>183</v>
      </c>
      <c r="E42" s="114">
        <v>16.3</v>
      </c>
      <c r="F42" s="110">
        <v>3.32</v>
      </c>
      <c r="G42" s="1" t="s">
        <v>145</v>
      </c>
      <c r="H42" s="1"/>
      <c r="I42" s="1"/>
      <c r="J42" s="224" t="s">
        <v>127</v>
      </c>
    </row>
    <row r="43" spans="1:10" x14ac:dyDescent="0.3">
      <c r="A43" s="2">
        <v>2</v>
      </c>
      <c r="B43" s="232" t="s">
        <v>509</v>
      </c>
      <c r="C43" s="232"/>
      <c r="D43" s="1" t="s">
        <v>319</v>
      </c>
      <c r="E43" s="114">
        <v>19.399999999999999</v>
      </c>
      <c r="F43" s="110">
        <v>3.29</v>
      </c>
      <c r="G43" s="1" t="s">
        <v>145</v>
      </c>
      <c r="H43" s="1"/>
      <c r="I43" s="1"/>
      <c r="J43" s="224" t="s">
        <v>146</v>
      </c>
    </row>
    <row r="44" spans="1:10" x14ac:dyDescent="0.3">
      <c r="A44" s="2">
        <v>2</v>
      </c>
      <c r="B44" s="232" t="s">
        <v>510</v>
      </c>
      <c r="C44" s="232"/>
      <c r="D44" s="1" t="s">
        <v>86</v>
      </c>
      <c r="E44" s="114">
        <v>108.4</v>
      </c>
      <c r="F44" s="110" t="s">
        <v>511</v>
      </c>
      <c r="G44" s="1" t="s">
        <v>284</v>
      </c>
      <c r="H44" s="1"/>
      <c r="I44" s="1"/>
      <c r="J44" s="224" t="s">
        <v>146</v>
      </c>
    </row>
    <row r="45" spans="1:10" x14ac:dyDescent="0.3">
      <c r="A45" s="2">
        <v>3</v>
      </c>
      <c r="B45" s="232" t="s">
        <v>512</v>
      </c>
      <c r="C45" s="232"/>
      <c r="D45" s="1" t="s">
        <v>176</v>
      </c>
      <c r="E45" s="114">
        <v>8.6</v>
      </c>
      <c r="F45" s="110">
        <v>3.28</v>
      </c>
      <c r="G45" s="1" t="s">
        <v>284</v>
      </c>
      <c r="H45" s="1" t="s">
        <v>479</v>
      </c>
      <c r="I45" s="1"/>
      <c r="J45" s="224" t="s">
        <v>146</v>
      </c>
    </row>
    <row r="46" spans="1:10" x14ac:dyDescent="0.3">
      <c r="A46" s="2">
        <v>3</v>
      </c>
      <c r="B46" s="232" t="s">
        <v>513</v>
      </c>
      <c r="C46" s="232"/>
      <c r="D46" s="1" t="s">
        <v>194</v>
      </c>
      <c r="E46" s="114">
        <v>2.4</v>
      </c>
      <c r="F46" s="110">
        <v>2.27</v>
      </c>
      <c r="G46" s="1" t="s">
        <v>284</v>
      </c>
      <c r="H46" s="1"/>
      <c r="I46" s="1"/>
      <c r="J46" s="224">
        <v>0</v>
      </c>
    </row>
    <row r="47" spans="1:10" x14ac:dyDescent="0.3">
      <c r="A47" s="2">
        <v>3</v>
      </c>
      <c r="B47" s="232" t="s">
        <v>514</v>
      </c>
      <c r="C47" s="232"/>
      <c r="D47" s="1" t="s">
        <v>176</v>
      </c>
      <c r="E47" s="114">
        <v>8.4</v>
      </c>
      <c r="F47" s="110">
        <v>3.26</v>
      </c>
      <c r="G47" s="1" t="s">
        <v>284</v>
      </c>
      <c r="H47" s="1" t="s">
        <v>479</v>
      </c>
      <c r="I47" s="1"/>
      <c r="J47" s="224" t="s">
        <v>146</v>
      </c>
    </row>
    <row r="48" spans="1:10" x14ac:dyDescent="0.3">
      <c r="A48" s="2">
        <v>3</v>
      </c>
      <c r="B48" s="232" t="s">
        <v>515</v>
      </c>
      <c r="C48" s="232"/>
      <c r="D48" s="1" t="s">
        <v>181</v>
      </c>
      <c r="E48" s="114">
        <v>10.199999999999999</v>
      </c>
      <c r="F48" s="110">
        <v>3.3</v>
      </c>
      <c r="G48" s="1" t="s">
        <v>145</v>
      </c>
      <c r="H48" s="1"/>
      <c r="I48" s="1"/>
      <c r="J48" s="224" t="s">
        <v>127</v>
      </c>
    </row>
    <row r="49" spans="1:10" x14ac:dyDescent="0.3">
      <c r="A49" s="2">
        <v>3</v>
      </c>
      <c r="B49" s="232" t="s">
        <v>516</v>
      </c>
      <c r="C49" s="232" t="s">
        <v>485</v>
      </c>
      <c r="D49" s="1" t="s">
        <v>181</v>
      </c>
      <c r="E49" s="114">
        <v>10.5</v>
      </c>
      <c r="F49" s="110">
        <v>3.3</v>
      </c>
      <c r="G49" s="1" t="s">
        <v>298</v>
      </c>
      <c r="H49" s="1"/>
      <c r="I49" s="1"/>
      <c r="J49" s="224" t="s">
        <v>127</v>
      </c>
    </row>
    <row r="50" spans="1:10" x14ac:dyDescent="0.3">
      <c r="A50" s="2">
        <v>3</v>
      </c>
      <c r="B50" s="232" t="s">
        <v>517</v>
      </c>
      <c r="C50" s="232" t="s">
        <v>489</v>
      </c>
      <c r="D50" s="1" t="s">
        <v>181</v>
      </c>
      <c r="E50" s="114">
        <v>22.1</v>
      </c>
      <c r="F50" s="110">
        <v>3.27</v>
      </c>
      <c r="G50" s="1" t="s">
        <v>298</v>
      </c>
      <c r="H50" s="1"/>
      <c r="I50" s="1"/>
      <c r="J50" s="224" t="s">
        <v>127</v>
      </c>
    </row>
    <row r="51" spans="1:10" x14ac:dyDescent="0.3">
      <c r="A51" s="2">
        <v>3</v>
      </c>
      <c r="B51" s="232" t="s">
        <v>518</v>
      </c>
      <c r="C51" s="232" t="s">
        <v>519</v>
      </c>
      <c r="D51" s="1" t="s">
        <v>181</v>
      </c>
      <c r="E51" s="114">
        <v>10.8</v>
      </c>
      <c r="F51" s="110">
        <v>3.27</v>
      </c>
      <c r="G51" s="1" t="s">
        <v>145</v>
      </c>
      <c r="H51" s="1"/>
      <c r="I51" s="1"/>
      <c r="J51" s="224" t="s">
        <v>127</v>
      </c>
    </row>
    <row r="52" spans="1:10" x14ac:dyDescent="0.3">
      <c r="A52" s="2">
        <v>3</v>
      </c>
      <c r="B52" s="232" t="s">
        <v>520</v>
      </c>
      <c r="C52" s="232" t="s">
        <v>492</v>
      </c>
      <c r="D52" s="1" t="s">
        <v>181</v>
      </c>
      <c r="E52" s="114">
        <v>10.5</v>
      </c>
      <c r="F52" s="110">
        <v>3.28</v>
      </c>
      <c r="G52" s="1" t="s">
        <v>298</v>
      </c>
      <c r="H52" s="1"/>
      <c r="I52" s="1"/>
      <c r="J52" s="224" t="s">
        <v>127</v>
      </c>
    </row>
    <row r="53" spans="1:10" x14ac:dyDescent="0.3">
      <c r="A53" s="2">
        <v>3</v>
      </c>
      <c r="B53" s="232" t="s">
        <v>521</v>
      </c>
      <c r="C53" s="232" t="s">
        <v>522</v>
      </c>
      <c r="D53" s="1" t="s">
        <v>181</v>
      </c>
      <c r="E53" s="114">
        <v>10.5</v>
      </c>
      <c r="F53" s="110">
        <v>3.33</v>
      </c>
      <c r="G53" s="1" t="s">
        <v>145</v>
      </c>
      <c r="H53" s="1"/>
      <c r="I53" s="1"/>
      <c r="J53" s="224" t="s">
        <v>127</v>
      </c>
    </row>
    <row r="54" spans="1:10" x14ac:dyDescent="0.3">
      <c r="A54" s="2">
        <v>3</v>
      </c>
      <c r="B54" s="232" t="s">
        <v>523</v>
      </c>
      <c r="C54" s="232" t="s">
        <v>495</v>
      </c>
      <c r="D54" s="1" t="s">
        <v>181</v>
      </c>
      <c r="E54" s="114">
        <v>10.6</v>
      </c>
      <c r="F54" s="110">
        <v>3.3</v>
      </c>
      <c r="G54" s="1" t="s">
        <v>145</v>
      </c>
      <c r="H54" s="1"/>
      <c r="I54" s="1"/>
      <c r="J54" s="224" t="s">
        <v>127</v>
      </c>
    </row>
    <row r="55" spans="1:10" x14ac:dyDescent="0.3">
      <c r="A55" s="2">
        <v>3</v>
      </c>
      <c r="B55" s="232" t="s">
        <v>524</v>
      </c>
      <c r="C55" s="232" t="s">
        <v>525</v>
      </c>
      <c r="D55" s="1" t="s">
        <v>181</v>
      </c>
      <c r="E55" s="114">
        <v>10.6</v>
      </c>
      <c r="F55" s="110">
        <v>3.3</v>
      </c>
      <c r="G55" s="1" t="s">
        <v>145</v>
      </c>
      <c r="H55" s="1"/>
      <c r="I55" s="1"/>
      <c r="J55" s="224" t="s">
        <v>127</v>
      </c>
    </row>
    <row r="56" spans="1:10" x14ac:dyDescent="0.3">
      <c r="A56" s="2">
        <v>3</v>
      </c>
      <c r="B56" s="232" t="s">
        <v>526</v>
      </c>
      <c r="C56" s="232" t="s">
        <v>527</v>
      </c>
      <c r="D56" s="1" t="s">
        <v>181</v>
      </c>
      <c r="E56" s="114">
        <v>10.3</v>
      </c>
      <c r="F56" s="110">
        <v>3.26</v>
      </c>
      <c r="G56" s="1" t="s">
        <v>145</v>
      </c>
      <c r="H56" s="1"/>
      <c r="I56" s="1"/>
      <c r="J56" s="224" t="s">
        <v>127</v>
      </c>
    </row>
    <row r="57" spans="1:10" x14ac:dyDescent="0.3">
      <c r="A57" s="2">
        <v>3</v>
      </c>
      <c r="B57" s="232" t="s">
        <v>528</v>
      </c>
      <c r="C57" s="232" t="s">
        <v>529</v>
      </c>
      <c r="D57" s="1" t="s">
        <v>183</v>
      </c>
      <c r="E57" s="114">
        <v>35.200000000000003</v>
      </c>
      <c r="F57" s="110">
        <v>3.29</v>
      </c>
      <c r="G57" s="1" t="s">
        <v>145</v>
      </c>
      <c r="H57" s="1"/>
      <c r="I57" s="1"/>
      <c r="J57" s="224" t="s">
        <v>127</v>
      </c>
    </row>
    <row r="58" spans="1:10" x14ac:dyDescent="0.3">
      <c r="A58" s="2">
        <v>3</v>
      </c>
      <c r="B58" s="232" t="s">
        <v>530</v>
      </c>
      <c r="C58" s="232" t="s">
        <v>531</v>
      </c>
      <c r="D58" s="1" t="s">
        <v>183</v>
      </c>
      <c r="E58" s="114">
        <v>17.399999999999999</v>
      </c>
      <c r="F58" s="110">
        <v>3.27</v>
      </c>
      <c r="G58" s="1" t="s">
        <v>145</v>
      </c>
      <c r="H58" s="1"/>
      <c r="I58" s="1"/>
      <c r="J58" s="224" t="s">
        <v>127</v>
      </c>
    </row>
    <row r="59" spans="1:10" x14ac:dyDescent="0.3">
      <c r="A59" s="2">
        <v>3</v>
      </c>
      <c r="B59" s="232" t="s">
        <v>532</v>
      </c>
      <c r="C59" s="232" t="s">
        <v>500</v>
      </c>
      <c r="D59" s="1" t="s">
        <v>455</v>
      </c>
      <c r="E59" s="114">
        <v>17.2</v>
      </c>
      <c r="F59" s="110">
        <v>3.3</v>
      </c>
      <c r="G59" s="1" t="s">
        <v>145</v>
      </c>
      <c r="H59" s="1"/>
      <c r="I59" s="1"/>
      <c r="J59" s="224" t="s">
        <v>146</v>
      </c>
    </row>
    <row r="60" spans="1:10" x14ac:dyDescent="0.3">
      <c r="A60" s="2">
        <v>3</v>
      </c>
      <c r="B60" s="251" t="s">
        <v>533</v>
      </c>
      <c r="C60" s="251" t="s">
        <v>504</v>
      </c>
      <c r="D60" s="1" t="s">
        <v>455</v>
      </c>
      <c r="E60" s="114">
        <v>36.700000000000003</v>
      </c>
      <c r="F60" s="110">
        <v>3.3</v>
      </c>
      <c r="G60" s="1" t="s">
        <v>145</v>
      </c>
      <c r="H60" s="1"/>
      <c r="I60" s="1"/>
      <c r="J60" s="224" t="s">
        <v>146</v>
      </c>
    </row>
    <row r="61" spans="1:10" x14ac:dyDescent="0.3">
      <c r="A61" s="2">
        <v>3</v>
      </c>
      <c r="B61" s="251" t="s">
        <v>534</v>
      </c>
      <c r="C61" s="251" t="s">
        <v>535</v>
      </c>
      <c r="D61" s="1" t="s">
        <v>183</v>
      </c>
      <c r="E61" s="114">
        <v>90.2</v>
      </c>
      <c r="F61" s="110">
        <v>3.28</v>
      </c>
      <c r="G61" s="1" t="s">
        <v>145</v>
      </c>
      <c r="H61" s="1"/>
      <c r="I61" s="1"/>
      <c r="J61" s="224" t="s">
        <v>127</v>
      </c>
    </row>
    <row r="62" spans="1:10" x14ac:dyDescent="0.3">
      <c r="A62" s="2">
        <v>3</v>
      </c>
      <c r="B62" s="251" t="s">
        <v>536</v>
      </c>
      <c r="C62" s="251" t="s">
        <v>537</v>
      </c>
      <c r="D62" s="1" t="s">
        <v>455</v>
      </c>
      <c r="E62" s="114">
        <v>53.5</v>
      </c>
      <c r="F62" s="110">
        <v>3.28</v>
      </c>
      <c r="G62" s="1" t="s">
        <v>145</v>
      </c>
      <c r="H62" s="1"/>
      <c r="I62" s="1"/>
      <c r="J62" s="224" t="s">
        <v>146</v>
      </c>
    </row>
    <row r="63" spans="1:10" x14ac:dyDescent="0.3">
      <c r="A63" s="2">
        <v>3</v>
      </c>
      <c r="B63" s="251" t="s">
        <v>538</v>
      </c>
      <c r="C63" s="232"/>
      <c r="D63" s="1" t="s">
        <v>319</v>
      </c>
      <c r="E63" s="114">
        <v>19.3</v>
      </c>
      <c r="F63" s="110">
        <v>3.27</v>
      </c>
      <c r="G63" s="1" t="s">
        <v>145</v>
      </c>
      <c r="H63" s="1"/>
      <c r="I63" s="1"/>
      <c r="J63" s="224" t="s">
        <v>146</v>
      </c>
    </row>
    <row r="64" spans="1:10" ht="15" thickBot="1" x14ac:dyDescent="0.35">
      <c r="A64" s="253">
        <v>3</v>
      </c>
      <c r="B64" s="254" t="s">
        <v>539</v>
      </c>
      <c r="C64" s="255"/>
      <c r="D64" s="125" t="s">
        <v>86</v>
      </c>
      <c r="E64" s="124">
        <v>108.4</v>
      </c>
      <c r="F64" s="256" t="s">
        <v>540</v>
      </c>
      <c r="G64" s="125" t="s">
        <v>145</v>
      </c>
      <c r="H64" s="125"/>
      <c r="I64" s="125"/>
      <c r="J64" s="224" t="s">
        <v>146</v>
      </c>
    </row>
    <row r="65" spans="1:10" ht="15.6" thickTop="1" thickBot="1" x14ac:dyDescent="0.35">
      <c r="A65" s="341" t="s">
        <v>123</v>
      </c>
      <c r="B65" s="341"/>
      <c r="C65" s="234"/>
      <c r="D65" s="127"/>
      <c r="E65" s="128">
        <f>SUM(E3:E64)</f>
        <v>1498.3999999999999</v>
      </c>
      <c r="F65" s="129"/>
      <c r="G65" s="127"/>
      <c r="H65" s="127"/>
      <c r="I65" s="127"/>
      <c r="J65" s="127"/>
    </row>
    <row r="66" spans="1:10" ht="15" thickTop="1" x14ac:dyDescent="0.3"/>
  </sheetData>
  <mergeCells count="2">
    <mergeCell ref="A1:I1"/>
    <mergeCell ref="A65:B6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9"/>
  <sheetViews>
    <sheetView topLeftCell="A66" workbookViewId="0">
      <selection activeCell="L9" sqref="L9"/>
    </sheetView>
  </sheetViews>
  <sheetFormatPr defaultRowHeight="14.4" x14ac:dyDescent="0.3"/>
  <cols>
    <col min="1" max="1" width="7.77734375" bestFit="1" customWidth="1"/>
    <col min="2" max="2" width="10.5546875" style="99" bestFit="1" customWidth="1"/>
    <col min="3" max="3" width="10" style="235" bestFit="1" customWidth="1"/>
    <col min="4" max="4" width="13.5546875" style="4" customWidth="1"/>
    <col min="5" max="5" width="11.5546875" style="236" bestFit="1" customWidth="1"/>
    <col min="6" max="6" width="15.21875" style="237" bestFit="1" customWidth="1"/>
    <col min="7" max="7" width="15.21875" style="4" bestFit="1" customWidth="1"/>
    <col min="8" max="8" width="11.44140625" style="4" bestFit="1" customWidth="1"/>
    <col min="9" max="9" width="13.44140625" style="4" bestFit="1" customWidth="1"/>
    <col min="10" max="10" width="12.77734375" customWidth="1"/>
    <col min="12" max="12" width="16.44140625" bestFit="1" customWidth="1"/>
    <col min="13" max="13" width="19.21875" bestFit="1" customWidth="1"/>
  </cols>
  <sheetData>
    <row r="1" spans="1:14" s="222" customFormat="1" ht="18.600000000000001" thickTop="1" thickBot="1" x14ac:dyDescent="0.35">
      <c r="A1" s="334" t="s">
        <v>541</v>
      </c>
      <c r="B1" s="335"/>
      <c r="C1" s="335"/>
      <c r="D1" s="335"/>
      <c r="E1" s="335"/>
      <c r="F1" s="335"/>
      <c r="G1" s="335"/>
      <c r="H1" s="335"/>
      <c r="I1" s="336"/>
      <c r="J1" s="321"/>
      <c r="K1" s="38"/>
      <c r="L1" s="89" t="s">
        <v>68</v>
      </c>
      <c r="M1" t="s">
        <v>69</v>
      </c>
      <c r="N1"/>
    </row>
    <row r="2" spans="1:14" s="222" customFormat="1" ht="44.4" thickTop="1" thickBot="1" x14ac:dyDescent="0.35">
      <c r="A2" s="127" t="s">
        <v>282</v>
      </c>
      <c r="B2" s="81" t="s">
        <v>70</v>
      </c>
      <c r="C2" s="223" t="s">
        <v>71</v>
      </c>
      <c r="D2" s="81" t="s">
        <v>72</v>
      </c>
      <c r="E2" s="105" t="s">
        <v>73</v>
      </c>
      <c r="F2" s="83" t="s">
        <v>74</v>
      </c>
      <c r="G2" s="81" t="s">
        <v>75</v>
      </c>
      <c r="H2" s="81" t="s">
        <v>76</v>
      </c>
      <c r="I2" s="85" t="s">
        <v>77</v>
      </c>
      <c r="J2" s="243" t="s">
        <v>125</v>
      </c>
      <c r="K2" s="38"/>
      <c r="L2" s="90">
        <v>0</v>
      </c>
      <c r="M2">
        <v>23.599999999999998</v>
      </c>
      <c r="N2"/>
    </row>
    <row r="3" spans="1:14" ht="15" thickTop="1" x14ac:dyDescent="0.3">
      <c r="A3" s="249">
        <v>1</v>
      </c>
      <c r="B3" s="250" t="s">
        <v>542</v>
      </c>
      <c r="C3" s="250"/>
      <c r="D3" s="108" t="s">
        <v>176</v>
      </c>
      <c r="E3" s="109">
        <v>8.6999999999999993</v>
      </c>
      <c r="F3" s="229" t="s">
        <v>543</v>
      </c>
      <c r="G3" s="108" t="s">
        <v>284</v>
      </c>
      <c r="H3" s="108" t="s">
        <v>479</v>
      </c>
      <c r="I3" s="108"/>
      <c r="J3" s="224" t="s">
        <v>146</v>
      </c>
      <c r="L3" s="99" t="s">
        <v>288</v>
      </c>
      <c r="M3">
        <v>16.7</v>
      </c>
    </row>
    <row r="4" spans="1:14" x14ac:dyDescent="0.3">
      <c r="A4" s="2">
        <v>1</v>
      </c>
      <c r="B4" s="232" t="s">
        <v>544</v>
      </c>
      <c r="C4" s="232"/>
      <c r="D4" s="1" t="s">
        <v>194</v>
      </c>
      <c r="E4" s="114">
        <v>2.2999999999999998</v>
      </c>
      <c r="F4" s="110" t="s">
        <v>545</v>
      </c>
      <c r="G4" s="1" t="s">
        <v>284</v>
      </c>
      <c r="H4" s="1"/>
      <c r="I4" s="1"/>
      <c r="J4" s="224">
        <v>0</v>
      </c>
      <c r="L4" s="99" t="s">
        <v>194</v>
      </c>
      <c r="M4">
        <v>6.8999999999999995</v>
      </c>
    </row>
    <row r="5" spans="1:14" x14ac:dyDescent="0.3">
      <c r="A5" s="2">
        <v>1</v>
      </c>
      <c r="B5" s="232" t="s">
        <v>546</v>
      </c>
      <c r="C5" s="232"/>
      <c r="D5" s="1" t="s">
        <v>176</v>
      </c>
      <c r="E5" s="114">
        <v>8.6</v>
      </c>
      <c r="F5" s="110" t="s">
        <v>543</v>
      </c>
      <c r="G5" s="1" t="s">
        <v>284</v>
      </c>
      <c r="H5" s="1" t="s">
        <v>479</v>
      </c>
      <c r="I5" s="1"/>
      <c r="J5" s="224" t="s">
        <v>146</v>
      </c>
      <c r="L5" s="90">
        <v>2</v>
      </c>
      <c r="M5">
        <v>41.1</v>
      </c>
    </row>
    <row r="6" spans="1:14" x14ac:dyDescent="0.3">
      <c r="A6" s="2">
        <v>1</v>
      </c>
      <c r="B6" s="232" t="s">
        <v>547</v>
      </c>
      <c r="C6" s="232" t="s">
        <v>548</v>
      </c>
      <c r="D6" s="1" t="s">
        <v>181</v>
      </c>
      <c r="E6" s="114">
        <v>20.7</v>
      </c>
      <c r="F6" s="110" t="s">
        <v>549</v>
      </c>
      <c r="G6" s="1" t="s">
        <v>298</v>
      </c>
      <c r="H6" s="1"/>
      <c r="I6" s="1"/>
      <c r="J6" s="257" t="s">
        <v>127</v>
      </c>
      <c r="L6" s="99" t="s">
        <v>322</v>
      </c>
      <c r="M6">
        <v>41.1</v>
      </c>
    </row>
    <row r="7" spans="1:14" x14ac:dyDescent="0.3">
      <c r="A7" s="2">
        <v>1</v>
      </c>
      <c r="B7" s="232" t="s">
        <v>550</v>
      </c>
      <c r="C7" s="232" t="s">
        <v>551</v>
      </c>
      <c r="D7" s="1" t="s">
        <v>181</v>
      </c>
      <c r="E7" s="114">
        <v>10.6</v>
      </c>
      <c r="F7" s="110" t="s">
        <v>549</v>
      </c>
      <c r="G7" s="1" t="s">
        <v>145</v>
      </c>
      <c r="H7" s="1"/>
      <c r="I7" s="1"/>
      <c r="J7" s="257" t="s">
        <v>127</v>
      </c>
      <c r="L7" s="90">
        <v>3</v>
      </c>
      <c r="M7">
        <v>519</v>
      </c>
    </row>
    <row r="8" spans="1:14" x14ac:dyDescent="0.3">
      <c r="A8" s="2">
        <v>1</v>
      </c>
      <c r="B8" s="232" t="s">
        <v>552</v>
      </c>
      <c r="C8" s="232" t="s">
        <v>553</v>
      </c>
      <c r="D8" s="1" t="s">
        <v>181</v>
      </c>
      <c r="E8" s="114">
        <v>11</v>
      </c>
      <c r="F8" s="110" t="s">
        <v>549</v>
      </c>
      <c r="G8" s="1" t="s">
        <v>145</v>
      </c>
      <c r="H8" s="1"/>
      <c r="I8" s="1"/>
      <c r="J8" s="257" t="s">
        <v>127</v>
      </c>
      <c r="L8" s="99" t="s">
        <v>181</v>
      </c>
      <c r="M8">
        <v>519</v>
      </c>
    </row>
    <row r="9" spans="1:14" x14ac:dyDescent="0.3">
      <c r="A9" s="2">
        <v>1</v>
      </c>
      <c r="B9" s="232" t="s">
        <v>554</v>
      </c>
      <c r="C9" s="232" t="s">
        <v>555</v>
      </c>
      <c r="D9" s="1" t="s">
        <v>181</v>
      </c>
      <c r="E9" s="114">
        <v>11.7</v>
      </c>
      <c r="F9" s="110" t="s">
        <v>549</v>
      </c>
      <c r="G9" s="1" t="s">
        <v>145</v>
      </c>
      <c r="H9" s="1"/>
      <c r="I9" s="1"/>
      <c r="J9" s="257" t="s">
        <v>127</v>
      </c>
      <c r="L9" s="90">
        <v>5</v>
      </c>
      <c r="M9">
        <v>913.69999999999993</v>
      </c>
    </row>
    <row r="10" spans="1:14" x14ac:dyDescent="0.3">
      <c r="A10" s="2">
        <v>1</v>
      </c>
      <c r="B10" s="232" t="s">
        <v>556</v>
      </c>
      <c r="C10" s="232" t="s">
        <v>557</v>
      </c>
      <c r="D10" s="1" t="s">
        <v>181</v>
      </c>
      <c r="E10" s="114">
        <v>11.3</v>
      </c>
      <c r="F10" s="110" t="s">
        <v>549</v>
      </c>
      <c r="G10" s="1" t="s">
        <v>145</v>
      </c>
      <c r="H10" s="1"/>
      <c r="I10" s="1"/>
      <c r="J10" s="257" t="s">
        <v>127</v>
      </c>
      <c r="L10" s="99" t="s">
        <v>86</v>
      </c>
      <c r="M10">
        <v>325.5</v>
      </c>
    </row>
    <row r="11" spans="1:14" x14ac:dyDescent="0.3">
      <c r="A11" s="2">
        <v>1</v>
      </c>
      <c r="B11" s="232" t="s">
        <v>558</v>
      </c>
      <c r="C11" s="232" t="s">
        <v>559</v>
      </c>
      <c r="D11" s="1" t="s">
        <v>181</v>
      </c>
      <c r="E11" s="114">
        <v>9.9</v>
      </c>
      <c r="F11" s="110" t="s">
        <v>549</v>
      </c>
      <c r="G11" s="1" t="s">
        <v>145</v>
      </c>
      <c r="H11" s="1"/>
      <c r="I11" s="1"/>
      <c r="J11" s="257" t="s">
        <v>127</v>
      </c>
      <c r="L11" s="99" t="s">
        <v>319</v>
      </c>
      <c r="M11">
        <v>58.4</v>
      </c>
    </row>
    <row r="12" spans="1:14" x14ac:dyDescent="0.3">
      <c r="A12" s="2">
        <v>1</v>
      </c>
      <c r="B12" s="232" t="s">
        <v>560</v>
      </c>
      <c r="C12" s="232" t="s">
        <v>561</v>
      </c>
      <c r="D12" s="1" t="s">
        <v>181</v>
      </c>
      <c r="E12" s="114">
        <v>11.3</v>
      </c>
      <c r="F12" s="110" t="s">
        <v>549</v>
      </c>
      <c r="G12" s="1" t="s">
        <v>298</v>
      </c>
      <c r="H12" s="1"/>
      <c r="I12" s="1"/>
      <c r="J12" s="257" t="s">
        <v>127</v>
      </c>
      <c r="L12" s="99" t="s">
        <v>191</v>
      </c>
      <c r="M12">
        <v>478.19999999999993</v>
      </c>
    </row>
    <row r="13" spans="1:14" x14ac:dyDescent="0.3">
      <c r="A13" s="2">
        <v>1</v>
      </c>
      <c r="B13" s="232" t="s">
        <v>562</v>
      </c>
      <c r="C13" s="232" t="s">
        <v>563</v>
      </c>
      <c r="D13" s="1" t="s">
        <v>181</v>
      </c>
      <c r="E13" s="114">
        <v>21.3</v>
      </c>
      <c r="F13" s="110" t="s">
        <v>564</v>
      </c>
      <c r="G13" s="1" t="s">
        <v>145</v>
      </c>
      <c r="H13" s="1"/>
      <c r="I13" s="1"/>
      <c r="J13" s="257" t="s">
        <v>127</v>
      </c>
      <c r="L13" s="99" t="s">
        <v>176</v>
      </c>
      <c r="M13">
        <v>51.6</v>
      </c>
    </row>
    <row r="14" spans="1:14" x14ac:dyDescent="0.3">
      <c r="A14" s="2">
        <v>1</v>
      </c>
      <c r="B14" s="232" t="s">
        <v>565</v>
      </c>
      <c r="C14" s="232" t="s">
        <v>566</v>
      </c>
      <c r="D14" s="1" t="s">
        <v>181</v>
      </c>
      <c r="E14" s="114">
        <v>16.3</v>
      </c>
      <c r="F14" s="110" t="s">
        <v>567</v>
      </c>
      <c r="G14" s="1" t="s">
        <v>298</v>
      </c>
      <c r="H14" s="1"/>
      <c r="I14" s="1"/>
      <c r="J14" s="257" t="s">
        <v>127</v>
      </c>
      <c r="L14" s="90" t="s">
        <v>122</v>
      </c>
      <c r="M14">
        <v>1497.3999999999999</v>
      </c>
    </row>
    <row r="15" spans="1:14" x14ac:dyDescent="0.3">
      <c r="A15" s="2">
        <v>1</v>
      </c>
      <c r="B15" s="232" t="s">
        <v>568</v>
      </c>
      <c r="C15" s="232" t="s">
        <v>569</v>
      </c>
      <c r="D15" s="1" t="s">
        <v>181</v>
      </c>
      <c r="E15" s="114">
        <v>16.100000000000001</v>
      </c>
      <c r="F15" s="110" t="s">
        <v>567</v>
      </c>
      <c r="G15" s="1" t="s">
        <v>298</v>
      </c>
      <c r="H15" s="1"/>
      <c r="I15" s="1"/>
      <c r="J15" s="257" t="s">
        <v>127</v>
      </c>
    </row>
    <row r="16" spans="1:14" x14ac:dyDescent="0.3">
      <c r="A16" s="2">
        <v>1</v>
      </c>
      <c r="B16" s="232" t="s">
        <v>570</v>
      </c>
      <c r="C16" s="232" t="s">
        <v>571</v>
      </c>
      <c r="D16" s="1" t="s">
        <v>322</v>
      </c>
      <c r="E16" s="114">
        <v>19.3</v>
      </c>
      <c r="F16" s="110" t="s">
        <v>567</v>
      </c>
      <c r="G16" s="1" t="s">
        <v>145</v>
      </c>
      <c r="H16" s="1"/>
      <c r="I16" s="1"/>
      <c r="J16" s="224" t="s">
        <v>497</v>
      </c>
    </row>
    <row r="17" spans="1:10" x14ac:dyDescent="0.3">
      <c r="A17" s="2">
        <v>1</v>
      </c>
      <c r="B17" s="232" t="s">
        <v>572</v>
      </c>
      <c r="C17" s="232" t="s">
        <v>573</v>
      </c>
      <c r="D17" s="1" t="s">
        <v>191</v>
      </c>
      <c r="E17" s="114">
        <v>55.4</v>
      </c>
      <c r="F17" s="110" t="s">
        <v>574</v>
      </c>
      <c r="G17" s="1" t="s">
        <v>145</v>
      </c>
      <c r="H17" s="1"/>
      <c r="I17" s="1"/>
      <c r="J17" s="224" t="s">
        <v>146</v>
      </c>
    </row>
    <row r="18" spans="1:10" x14ac:dyDescent="0.3">
      <c r="A18" s="2">
        <v>1</v>
      </c>
      <c r="B18" s="232" t="s">
        <v>575</v>
      </c>
      <c r="C18" s="232" t="s">
        <v>576</v>
      </c>
      <c r="D18" s="1" t="s">
        <v>181</v>
      </c>
      <c r="E18" s="114">
        <v>17.100000000000001</v>
      </c>
      <c r="F18" s="110" t="s">
        <v>574</v>
      </c>
      <c r="G18" s="1" t="s">
        <v>145</v>
      </c>
      <c r="H18" s="1"/>
      <c r="I18" s="1"/>
      <c r="J18" s="257" t="s">
        <v>127</v>
      </c>
    </row>
    <row r="19" spans="1:10" x14ac:dyDescent="0.3">
      <c r="A19" s="2">
        <v>1</v>
      </c>
      <c r="B19" s="232" t="s">
        <v>577</v>
      </c>
      <c r="C19" s="232" t="s">
        <v>578</v>
      </c>
      <c r="D19" s="1" t="s">
        <v>191</v>
      </c>
      <c r="E19" s="114">
        <v>36.1</v>
      </c>
      <c r="F19" s="110" t="s">
        <v>574</v>
      </c>
      <c r="G19" s="1" t="s">
        <v>145</v>
      </c>
      <c r="H19" s="1"/>
      <c r="I19" s="1"/>
      <c r="J19" s="224" t="s">
        <v>146</v>
      </c>
    </row>
    <row r="20" spans="1:10" x14ac:dyDescent="0.3">
      <c r="A20" s="2">
        <v>1</v>
      </c>
      <c r="B20" s="232" t="s">
        <v>579</v>
      </c>
      <c r="C20" s="232" t="s">
        <v>580</v>
      </c>
      <c r="D20" s="1" t="s">
        <v>191</v>
      </c>
      <c r="E20" s="114">
        <v>53.2</v>
      </c>
      <c r="F20" s="110" t="s">
        <v>574</v>
      </c>
      <c r="G20" s="1" t="s">
        <v>145</v>
      </c>
      <c r="H20" s="1"/>
      <c r="I20" s="1"/>
      <c r="J20" s="224" t="s">
        <v>146</v>
      </c>
    </row>
    <row r="21" spans="1:10" x14ac:dyDescent="0.3">
      <c r="A21" s="2">
        <v>1</v>
      </c>
      <c r="B21" s="232" t="s">
        <v>581</v>
      </c>
      <c r="C21" s="232" t="s">
        <v>582</v>
      </c>
      <c r="D21" s="1" t="s">
        <v>181</v>
      </c>
      <c r="E21" s="114">
        <v>18.3</v>
      </c>
      <c r="F21" s="110" t="s">
        <v>574</v>
      </c>
      <c r="G21" s="1" t="s">
        <v>298</v>
      </c>
      <c r="H21" s="1"/>
      <c r="I21" s="1"/>
      <c r="J21" s="257" t="s">
        <v>127</v>
      </c>
    </row>
    <row r="22" spans="1:10" x14ac:dyDescent="0.3">
      <c r="A22" s="2">
        <v>1</v>
      </c>
      <c r="B22" s="232" t="s">
        <v>583</v>
      </c>
      <c r="C22" s="232" t="s">
        <v>584</v>
      </c>
      <c r="D22" s="1" t="s">
        <v>288</v>
      </c>
      <c r="E22" s="114">
        <v>16.7</v>
      </c>
      <c r="F22" s="110" t="s">
        <v>567</v>
      </c>
      <c r="G22" s="1" t="s">
        <v>145</v>
      </c>
      <c r="H22" s="1"/>
      <c r="I22" s="1"/>
      <c r="J22" s="224">
        <v>0</v>
      </c>
    </row>
    <row r="23" spans="1:10" x14ac:dyDescent="0.3">
      <c r="A23" s="2">
        <v>1</v>
      </c>
      <c r="B23" s="232" t="s">
        <v>585</v>
      </c>
      <c r="C23" s="232"/>
      <c r="D23" s="1" t="s">
        <v>319</v>
      </c>
      <c r="E23" s="114">
        <v>19.399999999999999</v>
      </c>
      <c r="F23" s="110">
        <v>5.86</v>
      </c>
      <c r="G23" s="1" t="s">
        <v>145</v>
      </c>
      <c r="H23" s="1"/>
      <c r="I23" s="1"/>
      <c r="J23" s="224" t="s">
        <v>146</v>
      </c>
    </row>
    <row r="24" spans="1:10" x14ac:dyDescent="0.3">
      <c r="A24" s="2">
        <v>1</v>
      </c>
      <c r="B24" s="232" t="s">
        <v>586</v>
      </c>
      <c r="C24" s="232"/>
      <c r="D24" s="1" t="s">
        <v>86</v>
      </c>
      <c r="E24" s="114">
        <v>108.3</v>
      </c>
      <c r="F24" s="110" t="s">
        <v>587</v>
      </c>
      <c r="G24" s="1" t="s">
        <v>145</v>
      </c>
      <c r="H24" s="1"/>
      <c r="I24" s="1"/>
      <c r="J24" s="224" t="s">
        <v>146</v>
      </c>
    </row>
    <row r="25" spans="1:10" x14ac:dyDescent="0.3">
      <c r="A25" s="2">
        <v>2</v>
      </c>
      <c r="B25" s="232" t="s">
        <v>588</v>
      </c>
      <c r="C25" s="232"/>
      <c r="D25" s="1" t="s">
        <v>176</v>
      </c>
      <c r="E25" s="114">
        <v>8.6999999999999993</v>
      </c>
      <c r="F25" s="110" t="s">
        <v>589</v>
      </c>
      <c r="G25" s="1" t="s">
        <v>284</v>
      </c>
      <c r="H25" s="1" t="s">
        <v>90</v>
      </c>
      <c r="I25" s="1"/>
      <c r="J25" s="224" t="s">
        <v>146</v>
      </c>
    </row>
    <row r="26" spans="1:10" x14ac:dyDescent="0.3">
      <c r="A26" s="2">
        <v>2</v>
      </c>
      <c r="B26" s="232" t="s">
        <v>590</v>
      </c>
      <c r="C26" s="232" t="s">
        <v>591</v>
      </c>
      <c r="D26" s="1" t="s">
        <v>194</v>
      </c>
      <c r="E26" s="114">
        <v>2.2999999999999998</v>
      </c>
      <c r="F26" s="110" t="s">
        <v>592</v>
      </c>
      <c r="G26" s="1" t="s">
        <v>284</v>
      </c>
      <c r="H26" s="1"/>
      <c r="I26" s="1"/>
      <c r="J26" s="224">
        <v>0</v>
      </c>
    </row>
    <row r="27" spans="1:10" x14ac:dyDescent="0.3">
      <c r="A27" s="2">
        <v>2</v>
      </c>
      <c r="B27" s="232" t="s">
        <v>593</v>
      </c>
      <c r="C27" s="232"/>
      <c r="D27" s="1" t="s">
        <v>176</v>
      </c>
      <c r="E27" s="114">
        <v>8.5</v>
      </c>
      <c r="F27" s="110" t="s">
        <v>589</v>
      </c>
      <c r="G27" s="1" t="s">
        <v>284</v>
      </c>
      <c r="H27" s="1" t="s">
        <v>90</v>
      </c>
      <c r="I27" s="1"/>
      <c r="J27" s="224" t="s">
        <v>146</v>
      </c>
    </row>
    <row r="28" spans="1:10" x14ac:dyDescent="0.3">
      <c r="A28" s="2">
        <v>2</v>
      </c>
      <c r="B28" s="232" t="s">
        <v>594</v>
      </c>
      <c r="C28" s="232" t="s">
        <v>595</v>
      </c>
      <c r="D28" s="1" t="s">
        <v>181</v>
      </c>
      <c r="E28" s="114">
        <v>21.2</v>
      </c>
      <c r="F28" s="110" t="s">
        <v>543</v>
      </c>
      <c r="G28" s="1" t="s">
        <v>298</v>
      </c>
      <c r="H28" s="1"/>
      <c r="I28" s="1"/>
      <c r="J28" s="257" t="s">
        <v>127</v>
      </c>
    </row>
    <row r="29" spans="1:10" x14ac:dyDescent="0.3">
      <c r="A29" s="2">
        <v>2</v>
      </c>
      <c r="B29" s="232" t="s">
        <v>596</v>
      </c>
      <c r="C29" s="232" t="s">
        <v>551</v>
      </c>
      <c r="D29" s="1" t="s">
        <v>181</v>
      </c>
      <c r="E29" s="114">
        <v>10.3</v>
      </c>
      <c r="F29" s="110" t="s">
        <v>543</v>
      </c>
      <c r="G29" s="1" t="s">
        <v>145</v>
      </c>
      <c r="H29" s="1"/>
      <c r="I29" s="1"/>
      <c r="J29" s="257" t="s">
        <v>127</v>
      </c>
    </row>
    <row r="30" spans="1:10" x14ac:dyDescent="0.3">
      <c r="A30" s="2">
        <v>2</v>
      </c>
      <c r="B30" s="232" t="s">
        <v>597</v>
      </c>
      <c r="C30" s="232" t="s">
        <v>553</v>
      </c>
      <c r="D30" s="1" t="s">
        <v>181</v>
      </c>
      <c r="E30" s="114">
        <v>11.1</v>
      </c>
      <c r="F30" s="110" t="s">
        <v>543</v>
      </c>
      <c r="G30" s="1" t="s">
        <v>145</v>
      </c>
      <c r="H30" s="1"/>
      <c r="I30" s="1"/>
      <c r="J30" s="257" t="s">
        <v>127</v>
      </c>
    </row>
    <row r="31" spans="1:10" x14ac:dyDescent="0.3">
      <c r="A31" s="2">
        <v>2</v>
      </c>
      <c r="B31" s="232" t="s">
        <v>598</v>
      </c>
      <c r="C31" s="232" t="s">
        <v>555</v>
      </c>
      <c r="D31" s="1" t="s">
        <v>322</v>
      </c>
      <c r="E31" s="114">
        <v>21.8</v>
      </c>
      <c r="F31" s="110" t="s">
        <v>543</v>
      </c>
      <c r="G31" s="1" t="s">
        <v>145</v>
      </c>
      <c r="H31" s="1"/>
      <c r="I31" s="1"/>
      <c r="J31" s="224" t="s">
        <v>497</v>
      </c>
    </row>
    <row r="32" spans="1:10" x14ac:dyDescent="0.3">
      <c r="A32" s="2">
        <v>2</v>
      </c>
      <c r="B32" s="232" t="s">
        <v>599</v>
      </c>
      <c r="C32" s="232" t="s">
        <v>557</v>
      </c>
      <c r="D32" s="1" t="s">
        <v>181</v>
      </c>
      <c r="E32" s="114">
        <v>10.6</v>
      </c>
      <c r="F32" s="110" t="s">
        <v>543</v>
      </c>
      <c r="G32" s="1" t="s">
        <v>145</v>
      </c>
      <c r="H32" s="1"/>
      <c r="I32" s="1"/>
      <c r="J32" s="257" t="s">
        <v>127</v>
      </c>
    </row>
    <row r="33" spans="1:10" x14ac:dyDescent="0.3">
      <c r="A33" s="2">
        <v>2</v>
      </c>
      <c r="B33" s="232" t="s">
        <v>600</v>
      </c>
      <c r="C33" s="232" t="s">
        <v>559</v>
      </c>
      <c r="D33" s="1" t="s">
        <v>181</v>
      </c>
      <c r="E33" s="114">
        <v>10.5</v>
      </c>
      <c r="F33" s="110" t="s">
        <v>543</v>
      </c>
      <c r="G33" s="1" t="s">
        <v>145</v>
      </c>
      <c r="H33" s="1"/>
      <c r="I33" s="1"/>
      <c r="J33" s="257" t="s">
        <v>127</v>
      </c>
    </row>
    <row r="34" spans="1:10" x14ac:dyDescent="0.3">
      <c r="A34" s="2">
        <v>2</v>
      </c>
      <c r="B34" s="232" t="s">
        <v>601</v>
      </c>
      <c r="C34" s="232" t="s">
        <v>561</v>
      </c>
      <c r="D34" s="1" t="s">
        <v>181</v>
      </c>
      <c r="E34" s="114">
        <v>10.6</v>
      </c>
      <c r="F34" s="110" t="s">
        <v>543</v>
      </c>
      <c r="G34" s="1" t="s">
        <v>145</v>
      </c>
      <c r="H34" s="1"/>
      <c r="I34" s="1"/>
      <c r="J34" s="257" t="s">
        <v>127</v>
      </c>
    </row>
    <row r="35" spans="1:10" x14ac:dyDescent="0.3">
      <c r="A35" s="2">
        <v>2</v>
      </c>
      <c r="B35" s="232" t="s">
        <v>602</v>
      </c>
      <c r="C35" s="232" t="s">
        <v>603</v>
      </c>
      <c r="D35" s="1" t="s">
        <v>181</v>
      </c>
      <c r="E35" s="114">
        <v>10.199999999999999</v>
      </c>
      <c r="F35" s="110" t="s">
        <v>604</v>
      </c>
      <c r="G35" s="1" t="s">
        <v>145</v>
      </c>
      <c r="H35" s="1"/>
      <c r="I35" s="1"/>
      <c r="J35" s="257" t="s">
        <v>127</v>
      </c>
    </row>
    <row r="36" spans="1:10" x14ac:dyDescent="0.3">
      <c r="A36" s="2">
        <v>2</v>
      </c>
      <c r="B36" s="232" t="s">
        <v>605</v>
      </c>
      <c r="C36" s="232" t="s">
        <v>563</v>
      </c>
      <c r="D36" s="1" t="s">
        <v>181</v>
      </c>
      <c r="E36" s="114">
        <v>16.3</v>
      </c>
      <c r="F36" s="110" t="s">
        <v>606</v>
      </c>
      <c r="G36" s="1" t="s">
        <v>298</v>
      </c>
      <c r="H36" s="1"/>
      <c r="I36" s="1"/>
      <c r="J36" s="257" t="s">
        <v>127</v>
      </c>
    </row>
    <row r="37" spans="1:10" x14ac:dyDescent="0.3">
      <c r="A37" s="2">
        <v>2</v>
      </c>
      <c r="B37" s="232" t="s">
        <v>607</v>
      </c>
      <c r="C37" s="232" t="s">
        <v>566</v>
      </c>
      <c r="D37" s="1" t="s">
        <v>181</v>
      </c>
      <c r="E37" s="114">
        <v>16.8</v>
      </c>
      <c r="F37" s="110" t="s">
        <v>606</v>
      </c>
      <c r="G37" s="1" t="s">
        <v>145</v>
      </c>
      <c r="H37" s="1"/>
      <c r="I37" s="1"/>
      <c r="J37" s="257" t="s">
        <v>127</v>
      </c>
    </row>
    <row r="38" spans="1:10" x14ac:dyDescent="0.3">
      <c r="A38" s="2">
        <v>2</v>
      </c>
      <c r="B38" s="232" t="s">
        <v>608</v>
      </c>
      <c r="C38" s="232" t="s">
        <v>569</v>
      </c>
      <c r="D38" s="1" t="s">
        <v>181</v>
      </c>
      <c r="E38" s="114">
        <v>16.5</v>
      </c>
      <c r="F38" s="110" t="s">
        <v>606</v>
      </c>
      <c r="G38" s="1" t="s">
        <v>145</v>
      </c>
      <c r="H38" s="1"/>
      <c r="I38" s="1"/>
      <c r="J38" s="257" t="s">
        <v>127</v>
      </c>
    </row>
    <row r="39" spans="1:10" x14ac:dyDescent="0.3">
      <c r="A39" s="2">
        <v>2</v>
      </c>
      <c r="B39" s="232" t="s">
        <v>609</v>
      </c>
      <c r="C39" s="232" t="s">
        <v>571</v>
      </c>
      <c r="D39" s="1" t="s">
        <v>191</v>
      </c>
      <c r="E39" s="114">
        <v>52.7</v>
      </c>
      <c r="F39" s="110" t="s">
        <v>606</v>
      </c>
      <c r="G39" s="1" t="s">
        <v>145</v>
      </c>
      <c r="H39" s="1"/>
      <c r="I39" s="1"/>
      <c r="J39" s="224" t="s">
        <v>146</v>
      </c>
    </row>
    <row r="40" spans="1:10" x14ac:dyDescent="0.3">
      <c r="A40" s="2">
        <v>2</v>
      </c>
      <c r="B40" s="232" t="s">
        <v>610</v>
      </c>
      <c r="C40" s="232" t="s">
        <v>573</v>
      </c>
      <c r="D40" s="1" t="s">
        <v>181</v>
      </c>
      <c r="E40" s="114">
        <v>17.399999999999999</v>
      </c>
      <c r="F40" s="110" t="s">
        <v>606</v>
      </c>
      <c r="G40" s="1" t="s">
        <v>298</v>
      </c>
      <c r="H40" s="1"/>
      <c r="I40" s="1"/>
      <c r="J40" s="257" t="s">
        <v>127</v>
      </c>
    </row>
    <row r="41" spans="1:10" x14ac:dyDescent="0.3">
      <c r="A41" s="2">
        <v>2</v>
      </c>
      <c r="B41" s="232" t="s">
        <v>611</v>
      </c>
      <c r="C41" s="232" t="s">
        <v>576</v>
      </c>
      <c r="D41" s="1" t="s">
        <v>191</v>
      </c>
      <c r="E41" s="114">
        <v>52.7</v>
      </c>
      <c r="F41" s="110" t="s">
        <v>606</v>
      </c>
      <c r="G41" s="1" t="s">
        <v>145</v>
      </c>
      <c r="H41" s="1"/>
      <c r="I41" s="1"/>
      <c r="J41" s="224" t="s">
        <v>146</v>
      </c>
    </row>
    <row r="42" spans="1:10" x14ac:dyDescent="0.3">
      <c r="A42" s="2">
        <v>2</v>
      </c>
      <c r="B42" s="232" t="s">
        <v>612</v>
      </c>
      <c r="C42" s="232" t="s">
        <v>578</v>
      </c>
      <c r="D42" s="1" t="s">
        <v>181</v>
      </c>
      <c r="E42" s="114">
        <v>16.399999999999999</v>
      </c>
      <c r="F42" s="110" t="s">
        <v>606</v>
      </c>
      <c r="G42" s="1" t="s">
        <v>145</v>
      </c>
      <c r="H42" s="1"/>
      <c r="I42" s="1"/>
      <c r="J42" s="257" t="s">
        <v>127</v>
      </c>
    </row>
    <row r="43" spans="1:10" x14ac:dyDescent="0.3">
      <c r="A43" s="2">
        <v>2</v>
      </c>
      <c r="B43" s="232" t="s">
        <v>613</v>
      </c>
      <c r="C43" s="232" t="s">
        <v>580</v>
      </c>
      <c r="D43" s="1" t="s">
        <v>191</v>
      </c>
      <c r="E43" s="114">
        <v>52.4</v>
      </c>
      <c r="F43" s="110" t="s">
        <v>606</v>
      </c>
      <c r="G43" s="1" t="s">
        <v>145</v>
      </c>
      <c r="H43" s="1"/>
      <c r="I43" s="1"/>
      <c r="J43" s="224" t="s">
        <v>146</v>
      </c>
    </row>
    <row r="44" spans="1:10" x14ac:dyDescent="0.3">
      <c r="A44" s="2">
        <v>2</v>
      </c>
      <c r="B44" s="232" t="s">
        <v>614</v>
      </c>
      <c r="C44" s="232"/>
      <c r="D44" s="1" t="s">
        <v>319</v>
      </c>
      <c r="E44" s="114">
        <v>19.600000000000001</v>
      </c>
      <c r="F44" s="110">
        <v>5.87</v>
      </c>
      <c r="G44" s="1" t="s">
        <v>145</v>
      </c>
      <c r="H44" s="1"/>
      <c r="I44" s="1"/>
      <c r="J44" s="224" t="s">
        <v>146</v>
      </c>
    </row>
    <row r="45" spans="1:10" x14ac:dyDescent="0.3">
      <c r="A45" s="2">
        <v>2</v>
      </c>
      <c r="B45" s="232" t="s">
        <v>615</v>
      </c>
      <c r="C45" s="232"/>
      <c r="D45" s="1" t="s">
        <v>86</v>
      </c>
      <c r="E45" s="114">
        <v>108.6</v>
      </c>
      <c r="F45" s="110" t="s">
        <v>616</v>
      </c>
      <c r="G45" s="1" t="s">
        <v>145</v>
      </c>
      <c r="H45" s="1"/>
      <c r="I45" s="1"/>
      <c r="J45" s="224" t="s">
        <v>146</v>
      </c>
    </row>
    <row r="46" spans="1:10" x14ac:dyDescent="0.3">
      <c r="A46" s="2">
        <v>3</v>
      </c>
      <c r="B46" s="232" t="s">
        <v>617</v>
      </c>
      <c r="C46" s="232"/>
      <c r="D46" s="1" t="s">
        <v>176</v>
      </c>
      <c r="E46" s="114">
        <v>8.6999999999999993</v>
      </c>
      <c r="F46" s="110" t="s">
        <v>604</v>
      </c>
      <c r="G46" s="1" t="s">
        <v>284</v>
      </c>
      <c r="H46" s="1" t="s">
        <v>479</v>
      </c>
      <c r="I46" s="1"/>
      <c r="J46" s="224" t="s">
        <v>146</v>
      </c>
    </row>
    <row r="47" spans="1:10" x14ac:dyDescent="0.3">
      <c r="A47" s="2">
        <v>3</v>
      </c>
      <c r="B47" s="232" t="s">
        <v>618</v>
      </c>
      <c r="C47" s="232"/>
      <c r="D47" s="1" t="s">
        <v>194</v>
      </c>
      <c r="E47" s="114">
        <v>2.2999999999999998</v>
      </c>
      <c r="F47" s="110" t="s">
        <v>619</v>
      </c>
      <c r="G47" s="1" t="s">
        <v>284</v>
      </c>
      <c r="H47" s="1"/>
      <c r="I47" s="1"/>
      <c r="J47" s="224">
        <v>0</v>
      </c>
    </row>
    <row r="48" spans="1:10" x14ac:dyDescent="0.3">
      <c r="A48" s="2">
        <v>3</v>
      </c>
      <c r="B48" s="232" t="s">
        <v>620</v>
      </c>
      <c r="C48" s="232"/>
      <c r="D48" s="1" t="s">
        <v>176</v>
      </c>
      <c r="E48" s="114">
        <v>8.4</v>
      </c>
      <c r="F48" s="110" t="s">
        <v>604</v>
      </c>
      <c r="G48" s="1" t="s">
        <v>284</v>
      </c>
      <c r="H48" s="1" t="s">
        <v>479</v>
      </c>
      <c r="I48" s="1"/>
      <c r="J48" s="224" t="s">
        <v>146</v>
      </c>
    </row>
    <row r="49" spans="1:10" x14ac:dyDescent="0.3">
      <c r="A49" s="2">
        <v>3</v>
      </c>
      <c r="B49" s="232" t="s">
        <v>621</v>
      </c>
      <c r="C49" s="232" t="s">
        <v>548</v>
      </c>
      <c r="D49" s="1" t="s">
        <v>181</v>
      </c>
      <c r="E49" s="114">
        <v>10.3</v>
      </c>
      <c r="F49" s="110" t="s">
        <v>604</v>
      </c>
      <c r="G49" s="1" t="s">
        <v>145</v>
      </c>
      <c r="H49" s="1"/>
      <c r="I49" s="1"/>
      <c r="J49" s="257" t="s">
        <v>127</v>
      </c>
    </row>
    <row r="50" spans="1:10" x14ac:dyDescent="0.3">
      <c r="A50" s="2">
        <v>3</v>
      </c>
      <c r="B50" s="232" t="s">
        <v>622</v>
      </c>
      <c r="C50" s="232" t="s">
        <v>553</v>
      </c>
      <c r="D50" s="1" t="s">
        <v>181</v>
      </c>
      <c r="E50" s="114">
        <v>21.3</v>
      </c>
      <c r="F50" s="110" t="s">
        <v>604</v>
      </c>
      <c r="G50" s="1" t="s">
        <v>145</v>
      </c>
      <c r="H50" s="1"/>
      <c r="I50" s="1"/>
      <c r="J50" s="257" t="s">
        <v>127</v>
      </c>
    </row>
    <row r="51" spans="1:10" x14ac:dyDescent="0.3">
      <c r="A51" s="2">
        <v>3</v>
      </c>
      <c r="B51" s="232" t="s">
        <v>623</v>
      </c>
      <c r="C51" s="232" t="s">
        <v>624</v>
      </c>
      <c r="D51" s="1" t="s">
        <v>181</v>
      </c>
      <c r="E51" s="114">
        <v>10.6</v>
      </c>
      <c r="F51" s="110" t="s">
        <v>604</v>
      </c>
      <c r="G51" s="1" t="s">
        <v>298</v>
      </c>
      <c r="H51" s="1"/>
      <c r="I51" s="1"/>
      <c r="J51" s="257" t="s">
        <v>127</v>
      </c>
    </row>
    <row r="52" spans="1:10" x14ac:dyDescent="0.3">
      <c r="A52" s="2">
        <v>3</v>
      </c>
      <c r="B52" s="232" t="s">
        <v>625</v>
      </c>
      <c r="C52" s="232" t="s">
        <v>555</v>
      </c>
      <c r="D52" s="1" t="s">
        <v>181</v>
      </c>
      <c r="E52" s="114">
        <v>10.8</v>
      </c>
      <c r="F52" s="110" t="s">
        <v>604</v>
      </c>
      <c r="G52" s="1" t="s">
        <v>145</v>
      </c>
      <c r="H52" s="1"/>
      <c r="I52" s="1"/>
      <c r="J52" s="257" t="s">
        <v>127</v>
      </c>
    </row>
    <row r="53" spans="1:10" x14ac:dyDescent="0.3">
      <c r="A53" s="2">
        <v>3</v>
      </c>
      <c r="B53" s="232" t="s">
        <v>626</v>
      </c>
      <c r="C53" s="232" t="s">
        <v>557</v>
      </c>
      <c r="D53" s="1" t="s">
        <v>181</v>
      </c>
      <c r="E53" s="114">
        <v>10.5</v>
      </c>
      <c r="F53" s="110" t="s">
        <v>604</v>
      </c>
      <c r="G53" s="1" t="s">
        <v>145</v>
      </c>
      <c r="H53" s="1"/>
      <c r="I53" s="1"/>
      <c r="J53" s="257" t="s">
        <v>127</v>
      </c>
    </row>
    <row r="54" spans="1:10" x14ac:dyDescent="0.3">
      <c r="A54" s="2">
        <v>3</v>
      </c>
      <c r="B54" s="232" t="s">
        <v>627</v>
      </c>
      <c r="C54" s="232" t="s">
        <v>559</v>
      </c>
      <c r="D54" s="1" t="s">
        <v>181</v>
      </c>
      <c r="E54" s="114">
        <v>10.7</v>
      </c>
      <c r="F54" s="110" t="s">
        <v>604</v>
      </c>
      <c r="G54" s="1" t="s">
        <v>145</v>
      </c>
      <c r="H54" s="1"/>
      <c r="I54" s="1"/>
      <c r="J54" s="257" t="s">
        <v>127</v>
      </c>
    </row>
    <row r="55" spans="1:10" x14ac:dyDescent="0.3">
      <c r="A55" s="2">
        <v>3</v>
      </c>
      <c r="B55" s="232" t="s">
        <v>628</v>
      </c>
      <c r="C55" s="232" t="s">
        <v>561</v>
      </c>
      <c r="D55" s="1" t="s">
        <v>181</v>
      </c>
      <c r="E55" s="114">
        <v>10.6</v>
      </c>
      <c r="F55" s="110" t="s">
        <v>604</v>
      </c>
      <c r="G55" s="1" t="s">
        <v>298</v>
      </c>
      <c r="H55" s="1"/>
      <c r="I55" s="1"/>
      <c r="J55" s="257" t="s">
        <v>127</v>
      </c>
    </row>
    <row r="56" spans="1:10" x14ac:dyDescent="0.3">
      <c r="A56" s="2">
        <v>3</v>
      </c>
      <c r="B56" s="232" t="s">
        <v>629</v>
      </c>
      <c r="C56" s="232" t="s">
        <v>603</v>
      </c>
      <c r="D56" s="1" t="s">
        <v>181</v>
      </c>
      <c r="E56" s="114">
        <v>10.6</v>
      </c>
      <c r="F56" s="110" t="s">
        <v>564</v>
      </c>
      <c r="G56" s="1" t="s">
        <v>145</v>
      </c>
      <c r="H56" s="1"/>
      <c r="I56" s="1"/>
      <c r="J56" s="257" t="s">
        <v>127</v>
      </c>
    </row>
    <row r="57" spans="1:10" x14ac:dyDescent="0.3">
      <c r="A57" s="2">
        <v>3</v>
      </c>
      <c r="B57" s="232" t="s">
        <v>630</v>
      </c>
      <c r="C57" s="232" t="s">
        <v>563</v>
      </c>
      <c r="D57" s="1" t="s">
        <v>181</v>
      </c>
      <c r="E57" s="114">
        <v>10.3</v>
      </c>
      <c r="F57" s="110" t="s">
        <v>604</v>
      </c>
      <c r="G57" s="1" t="s">
        <v>145</v>
      </c>
      <c r="H57" s="1"/>
      <c r="I57" s="1"/>
      <c r="J57" s="257" t="s">
        <v>127</v>
      </c>
    </row>
    <row r="58" spans="1:10" x14ac:dyDescent="0.3">
      <c r="A58" s="2">
        <v>3</v>
      </c>
      <c r="B58" s="232" t="s">
        <v>631</v>
      </c>
      <c r="C58" s="232" t="s">
        <v>566</v>
      </c>
      <c r="D58" s="1" t="s">
        <v>191</v>
      </c>
      <c r="E58" s="114">
        <v>52.3</v>
      </c>
      <c r="F58" s="110" t="s">
        <v>632</v>
      </c>
      <c r="G58" s="1" t="s">
        <v>145</v>
      </c>
      <c r="H58" s="1"/>
      <c r="I58" s="1"/>
      <c r="J58" s="224" t="s">
        <v>146</v>
      </c>
    </row>
    <row r="59" spans="1:10" x14ac:dyDescent="0.3">
      <c r="A59" s="2">
        <v>3</v>
      </c>
      <c r="B59" s="232" t="s">
        <v>633</v>
      </c>
      <c r="C59" s="232" t="s">
        <v>634</v>
      </c>
      <c r="D59" s="1" t="s">
        <v>191</v>
      </c>
      <c r="E59" s="114">
        <v>18.2</v>
      </c>
      <c r="F59" s="110" t="s">
        <v>632</v>
      </c>
      <c r="G59" s="1" t="s">
        <v>145</v>
      </c>
      <c r="H59" s="1"/>
      <c r="I59" s="1"/>
      <c r="J59" s="224" t="s">
        <v>146</v>
      </c>
    </row>
    <row r="60" spans="1:10" x14ac:dyDescent="0.3">
      <c r="A60" s="2">
        <v>3</v>
      </c>
      <c r="B60" s="251" t="s">
        <v>635</v>
      </c>
      <c r="C60" s="251">
        <v>215</v>
      </c>
      <c r="D60" s="1" t="s">
        <v>191</v>
      </c>
      <c r="E60" s="114">
        <v>34.4</v>
      </c>
      <c r="F60" s="110" t="s">
        <v>632</v>
      </c>
      <c r="G60" s="1" t="s">
        <v>298</v>
      </c>
      <c r="H60" s="1"/>
      <c r="I60" s="1"/>
      <c r="J60" s="224" t="s">
        <v>146</v>
      </c>
    </row>
    <row r="61" spans="1:10" x14ac:dyDescent="0.3">
      <c r="A61" s="2">
        <v>3</v>
      </c>
      <c r="B61" s="251" t="s">
        <v>636</v>
      </c>
      <c r="C61" s="251" t="s">
        <v>571</v>
      </c>
      <c r="D61" s="1" t="s">
        <v>181</v>
      </c>
      <c r="E61" s="114">
        <v>17</v>
      </c>
      <c r="F61" s="110" t="s">
        <v>632</v>
      </c>
      <c r="G61" s="1" t="s">
        <v>298</v>
      </c>
      <c r="H61" s="1"/>
      <c r="I61" s="1"/>
      <c r="J61" s="257" t="s">
        <v>127</v>
      </c>
    </row>
    <row r="62" spans="1:10" x14ac:dyDescent="0.3">
      <c r="A62" s="2">
        <v>3</v>
      </c>
      <c r="B62" s="251" t="s">
        <v>637</v>
      </c>
      <c r="C62" s="251" t="s">
        <v>573</v>
      </c>
      <c r="D62" s="1" t="s">
        <v>181</v>
      </c>
      <c r="E62" s="114">
        <v>18.100000000000001</v>
      </c>
      <c r="F62" s="110" t="s">
        <v>632</v>
      </c>
      <c r="G62" s="1" t="s">
        <v>298</v>
      </c>
      <c r="H62" s="1"/>
      <c r="I62" s="1"/>
      <c r="J62" s="257" t="s">
        <v>127</v>
      </c>
    </row>
    <row r="63" spans="1:10" x14ac:dyDescent="0.3">
      <c r="A63" s="2">
        <v>3</v>
      </c>
      <c r="B63" s="251" t="s">
        <v>638</v>
      </c>
      <c r="C63" s="251">
        <v>218</v>
      </c>
      <c r="D63" s="1" t="s">
        <v>181</v>
      </c>
      <c r="E63" s="114">
        <v>17.399999999999999</v>
      </c>
      <c r="F63" s="110" t="s">
        <v>632</v>
      </c>
      <c r="G63" s="1" t="s">
        <v>298</v>
      </c>
      <c r="H63" s="1"/>
      <c r="I63" s="1"/>
      <c r="J63" s="257" t="s">
        <v>127</v>
      </c>
    </row>
    <row r="64" spans="1:10" x14ac:dyDescent="0.3">
      <c r="A64" s="2">
        <v>3</v>
      </c>
      <c r="B64" s="251" t="s">
        <v>639</v>
      </c>
      <c r="C64" s="251">
        <v>219</v>
      </c>
      <c r="D64" s="1" t="s">
        <v>181</v>
      </c>
      <c r="E64" s="114">
        <v>17.3</v>
      </c>
      <c r="F64" s="110" t="s">
        <v>632</v>
      </c>
      <c r="G64" s="1" t="s">
        <v>298</v>
      </c>
      <c r="H64" s="1"/>
      <c r="I64" s="1"/>
      <c r="J64" s="257" t="s">
        <v>127</v>
      </c>
    </row>
    <row r="65" spans="1:10" x14ac:dyDescent="0.3">
      <c r="A65" s="2">
        <v>3</v>
      </c>
      <c r="B65" s="251" t="s">
        <v>640</v>
      </c>
      <c r="C65" s="251" t="s">
        <v>641</v>
      </c>
      <c r="D65" s="1" t="s">
        <v>191</v>
      </c>
      <c r="E65" s="114">
        <v>70.8</v>
      </c>
      <c r="F65" s="110" t="s">
        <v>632</v>
      </c>
      <c r="G65" s="1" t="s">
        <v>193</v>
      </c>
      <c r="H65" s="1"/>
      <c r="I65" s="1"/>
      <c r="J65" s="224" t="s">
        <v>146</v>
      </c>
    </row>
    <row r="66" spans="1:10" x14ac:dyDescent="0.3">
      <c r="A66" s="2">
        <v>3</v>
      </c>
      <c r="B66" s="251" t="s">
        <v>642</v>
      </c>
      <c r="C66" s="232"/>
      <c r="D66" s="1" t="s">
        <v>319</v>
      </c>
      <c r="E66" s="114">
        <v>19.399999999999999</v>
      </c>
      <c r="F66" s="110">
        <v>5.83</v>
      </c>
      <c r="G66" s="1" t="s">
        <v>145</v>
      </c>
      <c r="H66" s="1"/>
      <c r="I66" s="1"/>
      <c r="J66" s="224" t="s">
        <v>146</v>
      </c>
    </row>
    <row r="67" spans="1:10" ht="15" thickBot="1" x14ac:dyDescent="0.35">
      <c r="A67" s="253">
        <v>3</v>
      </c>
      <c r="B67" s="254" t="s">
        <v>643</v>
      </c>
      <c r="C67" s="255"/>
      <c r="D67" s="125" t="s">
        <v>86</v>
      </c>
      <c r="E67" s="124">
        <v>108.6</v>
      </c>
      <c r="F67" s="256" t="s">
        <v>644</v>
      </c>
      <c r="G67" s="125" t="s">
        <v>145</v>
      </c>
      <c r="H67" s="125"/>
      <c r="I67" s="125"/>
      <c r="J67" s="224" t="s">
        <v>146</v>
      </c>
    </row>
    <row r="68" spans="1:10" ht="15.6" thickTop="1" thickBot="1" x14ac:dyDescent="0.35">
      <c r="A68" s="337" t="s">
        <v>123</v>
      </c>
      <c r="B68" s="337"/>
      <c r="C68" s="234"/>
      <c r="D68" s="127"/>
      <c r="E68" s="128">
        <f>SUM(E3:E67)</f>
        <v>1497.3999999999996</v>
      </c>
      <c r="F68" s="129"/>
      <c r="G68" s="127"/>
      <c r="H68" s="127"/>
      <c r="I68" s="127"/>
      <c r="J68" s="127"/>
    </row>
    <row r="69" spans="1:10" ht="15" thickTop="1" x14ac:dyDescent="0.3"/>
  </sheetData>
  <mergeCells count="2">
    <mergeCell ref="A1:I1"/>
    <mergeCell ref="A68:B6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73E65-F459-4A78-97D8-51BD7C1B554E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165F7564-EE31-47B9-8997-D75C775BF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5951D-88C2-4F57-BD27-6482A86896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11</vt:i4>
      </vt:variant>
    </vt:vector>
  </HeadingPairs>
  <TitlesOfParts>
    <vt:vector size="30" baseType="lpstr">
      <vt:lpstr>Celkový souhrn</vt:lpstr>
      <vt:lpstr>FAPPZ-komplet</vt:lpstr>
      <vt:lpstr>TF-komplet</vt:lpstr>
      <vt:lpstr>KH 1pp_bez úklidu</vt:lpstr>
      <vt:lpstr>KH 1 np</vt:lpstr>
      <vt:lpstr>TF 1pp</vt:lpstr>
      <vt:lpstr>TF 1np</vt:lpstr>
      <vt:lpstr>TF 2np</vt:lpstr>
      <vt:lpstr>TF 3np</vt:lpstr>
      <vt:lpstr>Dílny 1np</vt:lpstr>
      <vt:lpstr>Dílny 2np</vt:lpstr>
      <vt:lpstr>Kalkulační model, ver.1</vt:lpstr>
      <vt:lpstr>Místn. FAPPZ_A</vt:lpstr>
      <vt:lpstr>Místn. FAPPZ_B</vt:lpstr>
      <vt:lpstr>Místn. FAPPZ_C</vt:lpstr>
      <vt:lpstr>Místn. FAPPZ_CVCHP</vt:lpstr>
      <vt:lpstr>Místn. FAPPZ_meteostanice</vt:lpstr>
      <vt:lpstr>Místn. FAPPZ_skleníky</vt:lpstr>
      <vt:lpstr>Místn. FAPPZ_stáje</vt:lpstr>
      <vt:lpstr>'Místn. FAPPZ_A'!AF_1np</vt:lpstr>
      <vt:lpstr>'Místn. FAPPZ_A'!AF_1pp.dwg</vt:lpstr>
      <vt:lpstr>'Místn. FAPPZ_A'!AF_1pp_1</vt:lpstr>
      <vt:lpstr>'Místn. FAPPZ_A'!AF_2np.dwg</vt:lpstr>
      <vt:lpstr>'Místn. FAPPZ_A'!AF_3np.dwg</vt:lpstr>
      <vt:lpstr>'Místn. FAPPZ_A'!AF_4np</vt:lpstr>
      <vt:lpstr>'Místn. FAPPZ_A'!AF_5np.dwg</vt:lpstr>
      <vt:lpstr>'Místn. FAPPZ_A'!AF_strecha.dwg</vt:lpstr>
      <vt:lpstr>'TF 1pp'!hl_bud_1pp1.dwg</vt:lpstr>
      <vt:lpstr>'TF 1pp'!hl_bud_1pp2.dwg</vt:lpstr>
      <vt:lpstr>'TF 1pp'!hl_bud_1pp3.dwg</vt:lpstr>
    </vt:vector>
  </TitlesOfParts>
  <Manager/>
  <Company>CZU - FAPPZ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Kohoutova</dc:creator>
  <cp:keywords/>
  <dc:description/>
  <cp:lastModifiedBy>Kohoutová Marketa</cp:lastModifiedBy>
  <cp:revision/>
  <dcterms:created xsi:type="dcterms:W3CDTF">2020-11-06T08:45:41Z</dcterms:created>
  <dcterms:modified xsi:type="dcterms:W3CDTF">2026-02-24T12:03:56Z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